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05" yWindow="45" windowWidth="9390" windowHeight="11610" tabRatio="701" activeTab="0"/>
  </bookViews>
  <sheets>
    <sheet name="Instructions" sheetId="1" r:id="rId1"/>
    <sheet name="Daily Mileage Log" sheetId="2" r:id="rId2"/>
    <sheet name="Vanpool Roster" sheetId="3" r:id="rId3"/>
    <sheet name="Ridership Report" sheetId="4" r:id="rId4"/>
    <sheet name="Vanpool Report" sheetId="5" r:id="rId5"/>
    <sheet name="Sample Daily Mileage Log " sheetId="6" r:id="rId6"/>
    <sheet name="Sample Vanpool Roster" sheetId="7" r:id="rId7"/>
    <sheet name="Sample Ridership Report " sheetId="8" r:id="rId8"/>
    <sheet name="Formulas" sheetId="9" state="hidden" r:id="rId9"/>
    <sheet name="all fares" sheetId="10" state="hidden" r:id="rId10"/>
    <sheet name="Change Log" sheetId="11" state="hidden" r:id="rId11"/>
  </sheets>
  <definedNames>
    <definedName name="_xlfn.IFERROR" hidden="1">#NAME?</definedName>
    <definedName name="FareList">'Vanpool Report'!$V$17:$V$21</definedName>
    <definedName name="FaresFive">'all fares'!$A$42:$L$80</definedName>
    <definedName name="FaresFour">'all fares'!$A$2:$L$40</definedName>
    <definedName name="FaresNine">'all fares'!$A$165:$L$203</definedName>
    <definedName name="FaresSeven">'all fares'!$A$124:$L$162</definedName>
    <definedName name="FaresSix">'all fares'!$A$83:$L$121</definedName>
    <definedName name="Key">'Ridership Report'!$AR$11:$AR$21</definedName>
    <definedName name="miles4">'all fares'!$A$3:$A$39</definedName>
    <definedName name="Miles5">'all fares'!$A$43:$A$79</definedName>
    <definedName name="Miles6">'all fares'!$A$84:$A$120</definedName>
    <definedName name="Miles7">'all fares'!$A$125:$A$161</definedName>
    <definedName name="Miles9">'all fares'!$A$166:$A$202</definedName>
    <definedName name="PayPass">'Vanpool Report'!$T$2:$T$3</definedName>
    <definedName name="RiderType">'Ridership Report'!$AP$28:$AP$29</definedName>
  </definedNames>
  <calcPr fullCalcOnLoad="1"/>
</workbook>
</file>

<file path=xl/sharedStrings.xml><?xml version="1.0" encoding="utf-8"?>
<sst xmlns="http://schemas.openxmlformats.org/spreadsheetml/2006/main" count="608" uniqueCount="323">
  <si>
    <t>Date</t>
  </si>
  <si>
    <t>Totals</t>
  </si>
  <si>
    <t>Preparer's Signature</t>
  </si>
  <si>
    <r>
      <t xml:space="preserve">Intercity Transit </t>
    </r>
    <r>
      <rPr>
        <b/>
        <sz val="12"/>
        <rFont val="Arial"/>
        <family val="2"/>
      </rPr>
      <t xml:space="preserve">VANPOOL REPORT for the month of </t>
    </r>
  </si>
  <si>
    <t>Prepared by:</t>
  </si>
  <si>
    <t>Mileage Calculation</t>
  </si>
  <si>
    <t>Vehicle #</t>
  </si>
  <si>
    <t>Starting Date</t>
  </si>
  <si>
    <t>Ending Date</t>
  </si>
  <si>
    <t>Starting Mileage</t>
  </si>
  <si>
    <t>Ending Mileage</t>
  </si>
  <si>
    <t>Group Fare</t>
  </si>
  <si>
    <t>Mileage</t>
  </si>
  <si>
    <t>Quantity</t>
  </si>
  <si>
    <t>Cost</t>
  </si>
  <si>
    <t>Yes</t>
  </si>
  <si>
    <t>Upon braking, van stops in a straight line</t>
  </si>
  <si>
    <t>Parking brake holds on incline</t>
  </si>
  <si>
    <t>Headlights operate and are aimed properly</t>
  </si>
  <si>
    <t>Stop, tail and signal lights are operational</t>
  </si>
  <si>
    <t>Windshield/windows free of chips &amp; cracks</t>
  </si>
  <si>
    <t>Windshield wipers work and in good condition</t>
  </si>
  <si>
    <t>Tires properly inflated, tread depth over 4/32"</t>
  </si>
  <si>
    <t>Tires with no breaks, cuts or bulges</t>
  </si>
  <si>
    <t>Heater, defroster and air conditioner OK</t>
  </si>
  <si>
    <t>Subtotal</t>
  </si>
  <si>
    <t>All safety belts operational/in good condition</t>
  </si>
  <si>
    <t>Late fares (List names)</t>
  </si>
  <si>
    <t>Total</t>
  </si>
  <si>
    <t>All belts and hoses free of cracks/bulges</t>
  </si>
  <si>
    <t>Horn operational</t>
  </si>
  <si>
    <t>Exhaust system &amp; muffler OK</t>
  </si>
  <si>
    <t>Item</t>
  </si>
  <si>
    <t>Amount</t>
  </si>
  <si>
    <t>No vibration when steering</t>
  </si>
  <si>
    <t>Gauges registering properly</t>
  </si>
  <si>
    <t>Proper coolant/antifreeze level</t>
  </si>
  <si>
    <t>Proper engine oil level</t>
  </si>
  <si>
    <t>Balance due I.T.</t>
  </si>
  <si>
    <t>Free of unusual noises</t>
  </si>
  <si>
    <t>All emergency equipment in van</t>
  </si>
  <si>
    <t>Free of exterior body damage</t>
  </si>
  <si>
    <t>Vouchers</t>
  </si>
  <si>
    <t>Number of Paying Passengers</t>
  </si>
  <si>
    <t>Fare Rate</t>
  </si>
  <si>
    <t>2.</t>
  </si>
  <si>
    <t>Round Trips</t>
  </si>
  <si>
    <t>One Way Trips</t>
  </si>
  <si>
    <t>Days Driven</t>
  </si>
  <si>
    <t>Base Fare</t>
  </si>
  <si>
    <t>Fare Adjustments</t>
  </si>
  <si>
    <t>Net Fare</t>
  </si>
  <si>
    <t>Have you remembered to:</t>
  </si>
  <si>
    <t>Regular Commute Miles</t>
  </si>
  <si>
    <t>+ Extra Allowable Mileage</t>
  </si>
  <si>
    <t>Do Not Skip Lines!</t>
  </si>
  <si>
    <t>Calculate if it's a workday.</t>
  </si>
  <si>
    <t>Is there a passenger?</t>
  </si>
  <si>
    <t>~Attach Rider agreements for all new riders?</t>
  </si>
  <si>
    <t>~Attach written notices from all terminating riders?</t>
  </si>
  <si>
    <t>Calculate highest miles ea. Van</t>
  </si>
  <si>
    <t># wkdays</t>
  </si>
  <si>
    <t># mile entrys</t>
  </si>
  <si>
    <t>end miles</t>
  </si>
  <si>
    <t>Calc Begin Miles ea. Van</t>
  </si>
  <si>
    <t>Combine End Mile Strings</t>
  </si>
  <si>
    <t>Combine Start Mile Strings</t>
  </si>
  <si>
    <t>Last Mileage</t>
  </si>
  <si>
    <t>Break-out miles and convert to ###'s</t>
  </si>
  <si>
    <t>Combine Van No. Strings</t>
  </si>
  <si>
    <t>Break-out Van No.'s</t>
  </si>
  <si>
    <t>Working Days Last Month</t>
  </si>
  <si>
    <t>6. Other Purchases (Pre-approved by I.T.)</t>
  </si>
  <si>
    <t>-</t>
  </si>
  <si>
    <t>X</t>
  </si>
  <si>
    <t>A</t>
  </si>
  <si>
    <t>H</t>
  </si>
  <si>
    <t>T</t>
  </si>
  <si>
    <t>C</t>
  </si>
  <si>
    <t>N</t>
  </si>
  <si>
    <t>O</t>
  </si>
  <si>
    <t>Total Mileage:</t>
  </si>
  <si>
    <t>Free of fluid leads under van</t>
  </si>
  <si>
    <r>
      <t xml:space="preserve">FOR EACH "NO" RESPONSE, INDICATE </t>
    </r>
    <r>
      <rPr>
        <u val="single"/>
        <sz val="9"/>
        <rFont val="Arial"/>
        <family val="2"/>
      </rPr>
      <t>DATE YOU CALLED OUR MAINTENANCE DEPARTMENT</t>
    </r>
    <r>
      <rPr>
        <sz val="9"/>
        <rFont val="Arial"/>
        <family val="2"/>
      </rPr>
      <t xml:space="preserve"> TO REPORT PROBLEM*:</t>
    </r>
  </si>
  <si>
    <t>OK?</t>
  </si>
  <si>
    <t>Please report any bugs or problems to IT as soon as you</t>
  </si>
  <si>
    <t>can.  It's our goal to make this as easy and practical</t>
  </si>
  <si>
    <t>as possible.</t>
  </si>
  <si>
    <t>Total Full Time Riders:</t>
  </si>
  <si>
    <t>Last Name, Init.</t>
  </si>
  <si>
    <t>V</t>
  </si>
  <si>
    <t>What's the Van No.?</t>
  </si>
  <si>
    <t>Combine Dates</t>
  </si>
  <si>
    <t>Start Date</t>
  </si>
  <si>
    <t>End Date</t>
  </si>
  <si>
    <t>Start Dates</t>
  </si>
  <si>
    <r>
      <t>§</t>
    </r>
    <r>
      <rPr>
        <sz val="10"/>
        <rFont val="Book Antiqua"/>
        <family val="1"/>
      </rPr>
      <t>Please Enter Your  Starting Vehicle Number on the first line</t>
    </r>
  </si>
  <si>
    <r>
      <t>Veh. Number</t>
    </r>
    <r>
      <rPr>
        <vertAlign val="superscript"/>
        <sz val="10"/>
        <rFont val="Arial"/>
        <family val="2"/>
      </rPr>
      <t>§</t>
    </r>
  </si>
  <si>
    <t>+</t>
  </si>
  <si>
    <t>Daily RTM</t>
  </si>
  <si>
    <t xml:space="preserve"> </t>
  </si>
  <si>
    <t>total miles</t>
  </si>
  <si>
    <t>delete</t>
  </si>
  <si>
    <t>Driver and reson for use</t>
  </si>
  <si>
    <t>P+maxdeduct</t>
  </si>
  <si>
    <t>Days</t>
  </si>
  <si>
    <t>average miles</t>
  </si>
  <si>
    <t>Rounded up</t>
  </si>
  <si>
    <t>Extra allow</t>
  </si>
  <si>
    <t>Personal Use Miles x .40</t>
  </si>
  <si>
    <t>1. Mileage from month of</t>
  </si>
  <si>
    <t>Daily Fares</t>
  </si>
  <si>
    <t>revenue miles</t>
  </si>
  <si>
    <t>Allowable</t>
  </si>
  <si>
    <t>Daily Miles</t>
  </si>
  <si>
    <t>+ Personal Use Miles</t>
  </si>
  <si>
    <t>Mileage Log</t>
  </si>
  <si>
    <t>Vanpool Group #</t>
  </si>
  <si>
    <t>Ending Odometer Reading</t>
  </si>
  <si>
    <t xml:space="preserve"> Maximum personal miles per month:  250</t>
  </si>
  <si>
    <t xml:space="preserve"> = Total Mileage for</t>
  </si>
  <si>
    <t>Daily Roundtrip Mileage</t>
  </si>
  <si>
    <t xml:space="preserve">    Number of Full Time Vanpool</t>
  </si>
  <si>
    <t xml:space="preserve">Total </t>
  </si>
  <si>
    <t>Payment Due</t>
  </si>
  <si>
    <t>Payment Schedule</t>
  </si>
  <si>
    <t xml:space="preserve"> Commuters enrolled in</t>
  </si>
  <si>
    <t>*Be sure to attach all credit card receipts.</t>
  </si>
  <si>
    <t>Ridership Report for the Month of</t>
  </si>
  <si>
    <t xml:space="preserve">Full time riders </t>
  </si>
  <si>
    <t>Received by</t>
  </si>
  <si>
    <t>Beginning Odometer Reading*</t>
  </si>
  <si>
    <t>Personal Use Miles**</t>
  </si>
  <si>
    <t>*Only necessary for first entry and whenever changing vehicles.</t>
  </si>
  <si>
    <t>**Personal miles must be approved by Intercity Transit. Price per mile calculated at $0.40.</t>
  </si>
  <si>
    <t>name</t>
  </si>
  <si>
    <t>work phone</t>
  </si>
  <si>
    <t>home/cell phone</t>
  </si>
  <si>
    <t>email</t>
  </si>
  <si>
    <t>Driver</t>
  </si>
  <si>
    <t>Coordinator</t>
  </si>
  <si>
    <t>city</t>
  </si>
  <si>
    <t>zip</t>
  </si>
  <si>
    <t>Route Info</t>
  </si>
  <si>
    <t>Bookkeeper</t>
  </si>
  <si>
    <t>Group Info</t>
  </si>
  <si>
    <t xml:space="preserve">Origin </t>
  </si>
  <si>
    <t>Destination</t>
  </si>
  <si>
    <t>mailing address</t>
  </si>
  <si>
    <t>Work Hours</t>
  </si>
  <si>
    <t>Days of the week</t>
  </si>
  <si>
    <t>Monthly Roster for Group</t>
  </si>
  <si>
    <t>Full time riders on the first of</t>
  </si>
  <si>
    <t>last day</t>
  </si>
  <si>
    <t>new rider</t>
  </si>
  <si>
    <t># of riders enrolled for</t>
  </si>
  <si>
    <t>Check box if this rider has left the vanpool</t>
  </si>
  <si>
    <t>Receipt #</t>
  </si>
  <si>
    <t>Full time riders who started after the first of</t>
  </si>
  <si>
    <t>PT</t>
  </si>
  <si>
    <t>Part time or New Rider</t>
  </si>
  <si>
    <t>DAILY</t>
  </si>
  <si>
    <t>MONTHLY</t>
  </si>
  <si>
    <t>PRORATED</t>
  </si>
  <si>
    <t>Start date</t>
  </si>
  <si>
    <t xml:space="preserve">Part time riders and riders who started after the first of </t>
  </si>
  <si>
    <t>rider type</t>
  </si>
  <si>
    <t>part time</t>
  </si>
  <si>
    <t>Pay type</t>
  </si>
  <si>
    <t xml:space="preserve">   I T   O F F I C E   U S E   O N L Y </t>
  </si>
  <si>
    <t xml:space="preserve">Riders </t>
  </si>
  <si>
    <t xml:space="preserve">Drivers </t>
  </si>
  <si>
    <t>for C20</t>
  </si>
  <si>
    <t>Boxes checked</t>
  </si>
  <si>
    <t>boxes checked with riders</t>
  </si>
  <si>
    <t>Continuing riders</t>
  </si>
  <si>
    <t>New riders</t>
  </si>
  <si>
    <t>Total riders enrolled for report month</t>
  </si>
  <si>
    <t>Departing riders</t>
  </si>
  <si>
    <t>Mileage Calculator</t>
  </si>
  <si>
    <t>days</t>
  </si>
  <si>
    <t>Riders Wanted?</t>
  </si>
  <si>
    <t>Overnight Parking</t>
  </si>
  <si>
    <t>Pickups</t>
  </si>
  <si>
    <t>Dropoffs</t>
  </si>
  <si>
    <t xml:space="preserve">   </t>
  </si>
  <si>
    <t>#</t>
  </si>
  <si>
    <t>+ Bonus Miles =</t>
  </si>
  <si>
    <t xml:space="preserve"> Total for Part Time and New Riders</t>
  </si>
  <si>
    <t xml:space="preserve"> Total for Full Time Riders</t>
  </si>
  <si>
    <t xml:space="preserve"> Vehicle Number:</t>
  </si>
  <si>
    <t xml:space="preserve">   Vanpool Group Number:</t>
  </si>
  <si>
    <r>
      <t xml:space="preserve"> Intercity Transit </t>
    </r>
    <r>
      <rPr>
        <b/>
        <sz val="14"/>
        <rFont val="Arial"/>
        <family val="2"/>
      </rPr>
      <t>Vanpool Program</t>
    </r>
  </si>
  <si>
    <r>
      <t>Intercity Transit</t>
    </r>
    <r>
      <rPr>
        <b/>
        <sz val="14"/>
        <rFont val="Arial"/>
        <family val="2"/>
      </rPr>
      <t xml:space="preserve"> Vanpool Report Instructions</t>
    </r>
  </si>
  <si>
    <t>\</t>
  </si>
  <si>
    <t>4-day</t>
  </si>
  <si>
    <t>`</t>
  </si>
  <si>
    <t>5-day</t>
  </si>
  <si>
    <t>6-day</t>
  </si>
  <si>
    <t>7-day</t>
  </si>
  <si>
    <t>9x80</t>
  </si>
  <si>
    <t>Fare Schedule</t>
  </si>
  <si>
    <t>Schedules</t>
  </si>
  <si>
    <t>Van Size:</t>
  </si>
  <si>
    <t>Base 50</t>
  </si>
  <si>
    <t>bonus miles</t>
  </si>
  <si>
    <t>Choose Fare Schedule</t>
  </si>
  <si>
    <t>starts@</t>
  </si>
  <si>
    <t>Min Miles</t>
  </si>
  <si>
    <t>Average Miles Per Day</t>
  </si>
  <si>
    <t>fare figurer-outer</t>
  </si>
  <si>
    <t>subsidy</t>
  </si>
  <si>
    <t>full unsubsidized fare</t>
  </si>
  <si>
    <t>group fare</t>
  </si>
  <si>
    <t>Number of Riders for fare</t>
  </si>
  <si>
    <t>ind fare for 1 less</t>
  </si>
  <si>
    <t>Subsidy</t>
  </si>
  <si>
    <t>miles category</t>
  </si>
  <si>
    <t>position of mileage</t>
  </si>
  <si>
    <t>miles-1</t>
  </si>
  <si>
    <t>mileage row</t>
  </si>
  <si>
    <t>keeps mileage at min for fare bracket</t>
  </si>
  <si>
    <t>*takes van size into account, group cannot be charged beyond capacity of van</t>
  </si>
  <si>
    <t>riders -1</t>
  </si>
  <si>
    <t>Checks</t>
  </si>
  <si>
    <t>Cash</t>
  </si>
  <si>
    <t>Bridge Tolls</t>
  </si>
  <si>
    <t>Van Wash Credit</t>
  </si>
  <si>
    <t>Employer Invoice</t>
  </si>
  <si>
    <t>Days/mo</t>
  </si>
  <si>
    <t>Work days per week</t>
  </si>
  <si>
    <t>Days per month</t>
  </si>
  <si>
    <t xml:space="preserve">Current </t>
  </si>
  <si>
    <t>Daily Rate Chart</t>
  </si>
  <si>
    <t>Miles</t>
  </si>
  <si>
    <t>cost</t>
  </si>
  <si>
    <t>Current Miles/Rate</t>
  </si>
  <si>
    <t>Daily Fare Rate</t>
  </si>
  <si>
    <t>*A "yes" indicates items were inspected and are satisfactory</t>
  </si>
  <si>
    <t>5. Fuel Purchases</t>
  </si>
  <si>
    <t>4. Payments</t>
  </si>
  <si>
    <t>3. Charges</t>
  </si>
  <si>
    <t>7. Vehicle Inspection Report</t>
  </si>
  <si>
    <t>The grey shaded fields are calculated for you.</t>
  </si>
  <si>
    <t>When the report is complete, save as a new file with your group number and date.</t>
  </si>
  <si>
    <t>Effective - 1/1/2013</t>
  </si>
  <si>
    <t xml:space="preserve">Note: throughout this spreadsheet - </t>
  </si>
  <si>
    <t xml:space="preserve">Only enter Data into light blue shaded areas.  </t>
  </si>
  <si>
    <t xml:space="preserve">Enter your group number and van number at the top of the </t>
  </si>
  <si>
    <t>Daily Mileage Log</t>
  </si>
  <si>
    <t xml:space="preserve">Record the beginning odometer reading of your van on the first day of the month or when you </t>
  </si>
  <si>
    <t>pick up a different van from the Intercity Transit maintenance department.</t>
  </si>
  <si>
    <t xml:space="preserve">Record the ending odometer reading at the end of each day on the Daily Mileage Log. </t>
  </si>
  <si>
    <t>*See sample Mileage Log for an example.</t>
  </si>
  <si>
    <t xml:space="preserve">Record who rode in the van and who drove for each day on the </t>
  </si>
  <si>
    <t>Ridership Report</t>
  </si>
  <si>
    <t xml:space="preserve">The days your van did not travel will be shaded grey.  </t>
  </si>
  <si>
    <t>*See sample Ridership Report for an example.</t>
  </si>
  <si>
    <r>
      <t xml:space="preserve">for instance </t>
    </r>
    <r>
      <rPr>
        <i/>
        <sz val="10"/>
        <rFont val="Arial"/>
        <family val="2"/>
      </rPr>
      <t xml:space="preserve">VP120may2013.xls.  Retain this file for your records.  </t>
    </r>
  </si>
  <si>
    <t>Print and mail the report to your Intercity Transit Vanpool Coordinaor.</t>
  </si>
  <si>
    <t xml:space="preserve">with your payment in the provided envelope.  Let us know If you need more envelopes. </t>
  </si>
  <si>
    <t xml:space="preserve">and phone number for a rider if their contact information has changed.  </t>
  </si>
  <si>
    <t>If a rider has left the vanpool group, check the box and list their last day:</t>
  </si>
  <si>
    <t xml:space="preserve">list any new riders and their start dates </t>
  </si>
  <si>
    <t xml:space="preserve">Select your van size on the </t>
  </si>
  <si>
    <t>Vanpool Report page</t>
  </si>
  <si>
    <t>Select the correct fare schedule and the amount</t>
  </si>
  <si>
    <t>of bonus miles your group recieves.  The average miles are calculated for you.</t>
  </si>
  <si>
    <t>Select the number of paying passengers and add any bridge tolls</t>
  </si>
  <si>
    <t xml:space="preserve">Enter all payments and credits.  </t>
  </si>
  <si>
    <t/>
  </si>
  <si>
    <t>dropped van at IT for service</t>
  </si>
  <si>
    <t>Picked up van at IT</t>
  </si>
  <si>
    <t xml:space="preserve">Paul used the van to go to the store </t>
  </si>
  <si>
    <t>September, 2011</t>
  </si>
  <si>
    <t>John</t>
  </si>
  <si>
    <t>a</t>
  </si>
  <si>
    <t>Paul</t>
  </si>
  <si>
    <t>George</t>
  </si>
  <si>
    <t>Ringo</t>
  </si>
  <si>
    <t>.</t>
  </si>
  <si>
    <t>Yoko</t>
  </si>
  <si>
    <t>Billy</t>
  </si>
  <si>
    <t>x</t>
  </si>
  <si>
    <t>Peter</t>
  </si>
  <si>
    <r>
      <t xml:space="preserve">Never use the </t>
    </r>
    <r>
      <rPr>
        <b/>
        <sz val="12"/>
        <rFont val="Arial"/>
        <family val="2"/>
      </rPr>
      <t>"Cut"</t>
    </r>
    <r>
      <rPr>
        <sz val="12"/>
        <rFont val="Arial"/>
        <family val="2"/>
      </rPr>
      <t xml:space="preserve"> function in this workbook!  Please only use "Copy".  If you cut cells or rows it may damage the functions that allow this spreadsheet to calculate your mileage and fare.</t>
    </r>
  </si>
  <si>
    <r>
      <t xml:space="preserve">List the members of your group on the </t>
    </r>
    <r>
      <rPr>
        <u val="single"/>
        <sz val="10"/>
        <color indexed="12"/>
        <rFont val="Arial"/>
        <family val="2"/>
      </rPr>
      <t>Vanpool Roster</t>
    </r>
    <r>
      <rPr>
        <sz val="10"/>
        <rFont val="Arial"/>
        <family val="2"/>
      </rPr>
      <t xml:space="preserve">.  It is only necessary to list address </t>
    </r>
  </si>
  <si>
    <t>August</t>
  </si>
  <si>
    <t>Liverpool</t>
  </si>
  <si>
    <t>London</t>
  </si>
  <si>
    <t>8 days a week</t>
  </si>
  <si>
    <t>8:00am to 5:00pm</t>
  </si>
  <si>
    <t>Paul's Home</t>
  </si>
  <si>
    <t>Liverpool Park &amp; Ride</t>
  </si>
  <si>
    <t>Abbey Road Studios</t>
  </si>
  <si>
    <t>Penny Lane</t>
  </si>
  <si>
    <t>Strawberry Fields</t>
  </si>
  <si>
    <t>Yellow Submarine</t>
  </si>
  <si>
    <t>64</t>
  </si>
  <si>
    <t>1 West 72nd Street</t>
  </si>
  <si>
    <t>New York</t>
  </si>
  <si>
    <t>212-207-7617</t>
  </si>
  <si>
    <t>212-207-7000</t>
  </si>
  <si>
    <t>YokoO@gmail.com</t>
  </si>
  <si>
    <t>Note:  If you see this warning at the top of your screen click "Enable Editing" or you will not be able to enter data into the vanpool report</t>
  </si>
  <si>
    <t>Instructions</t>
  </si>
  <si>
    <t>Fare schedule list</t>
  </si>
  <si>
    <t xml:space="preserve"> Maximum personal miles per month:  250 per van</t>
  </si>
  <si>
    <t>Driver and reason for use</t>
  </si>
  <si>
    <t>Change Log</t>
  </si>
  <si>
    <t>Problem</t>
  </si>
  <si>
    <t>Fix</t>
  </si>
  <si>
    <t>daily fare was not calculated correctly on ridership log.  Formula to calculate daily fare amount was pointing to the wrong cell on vanpool report.</t>
  </si>
  <si>
    <t>Updated formula in AL27 - AL33 to refrence cell Q9 instead of P9 for average miles per day</t>
  </si>
  <si>
    <t>Font was too light on Ridership Report AL8 :AN15</t>
  </si>
  <si>
    <t>Changed Font to Black</t>
  </si>
  <si>
    <t xml:space="preserve">solved all 2003 compatibility issues </t>
  </si>
  <si>
    <t>removed all dead links, replaced IFERROR formulas, converted data validation lists to use named ranges and removed all color, border or font errors.</t>
  </si>
  <si>
    <t>driver trips were not counting correctly in part time riders on Ridership Report</t>
  </si>
  <si>
    <t>copied formatting from regular rider section down to part time section.  The formatting was automatically rounding</t>
  </si>
  <si>
    <t>Online Payments</t>
  </si>
  <si>
    <t>Other credits or payments (explain)</t>
  </si>
  <si>
    <r>
      <t xml:space="preserve">Late fee </t>
    </r>
    <r>
      <rPr>
        <i/>
        <sz val="10"/>
        <rFont val="Arial"/>
        <family val="2"/>
      </rPr>
      <t xml:space="preserve">(if postmarked after 10th of month add </t>
    </r>
    <r>
      <rPr>
        <b/>
        <i/>
        <sz val="10"/>
        <rFont val="Arial"/>
        <family val="2"/>
      </rPr>
      <t>$35</t>
    </r>
    <r>
      <rPr>
        <i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</si>
</sst>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;\-0;;@"/>
    <numFmt numFmtId="166" formatCode="0;;;@"/>
    <numFmt numFmtId="167" formatCode="0.00;\-0.00;;@"/>
    <numFmt numFmtId="168" formatCode="&quot;$&quot;#,##0.00;;;@"/>
    <numFmt numFmtId="169" formatCode="000000;;;@"/>
    <numFmt numFmtId="170" formatCode="mm/dd/yy"/>
    <numFmt numFmtId="171" formatCode="0;0;;@"/>
    <numFmt numFmtId="172" formatCode="m/d"/>
    <numFmt numFmtId="173" formatCode="&quot;$&quot;#,##0"/>
    <numFmt numFmtId="174" formatCode="mmmm"/>
    <numFmt numFmtId="175" formatCode="yyyy"/>
    <numFmt numFmtId="176" formatCode="mmmm\,\ yyyy"/>
    <numFmt numFmtId="177" formatCode="mm/dd/yy;@"/>
    <numFmt numFmtId="178" formatCode="[$-F800]dddd\,\ mmmm\ dd\,\ yyyy"/>
    <numFmt numFmtId="179" formatCode="#.#"/>
    <numFmt numFmtId="180" formatCode="&quot;$&quot;#,##0.00;[Red]&quot;$&quot;#,##0.00"/>
    <numFmt numFmtId="181" formatCode="[$-409]dddd\,\ mmmm\ dd\,\ yyyy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105">
    <font>
      <sz val="10"/>
      <name val="Arial"/>
      <family val="0"/>
    </font>
    <font>
      <sz val="12"/>
      <color indexed="8"/>
      <name val="Arial"/>
      <family val="2"/>
    </font>
    <font>
      <sz val="10"/>
      <name val="Book Antiqua"/>
      <family val="1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10"/>
      <name val="Book Antiqua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2"/>
      <name val="Book Antiqua"/>
      <family val="1"/>
    </font>
    <font>
      <b/>
      <sz val="20"/>
      <name val="Book Antiqua"/>
      <family val="1"/>
    </font>
    <font>
      <sz val="12"/>
      <name val="Book Antiqua"/>
      <family val="1"/>
    </font>
    <font>
      <b/>
      <sz val="10"/>
      <color indexed="10"/>
      <name val="Book Antiqua"/>
      <family val="1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9"/>
      <name val="Book Antiqua"/>
      <family val="1"/>
    </font>
    <font>
      <b/>
      <sz val="12"/>
      <color indexed="9"/>
      <name val="Book Antiqua"/>
      <family val="1"/>
    </font>
    <font>
      <u val="single"/>
      <sz val="9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9"/>
      <name val="Book Antiqua"/>
      <family val="1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u val="single"/>
      <sz val="10"/>
      <color indexed="41"/>
      <name val="Arial"/>
      <family val="2"/>
    </font>
    <font>
      <sz val="10"/>
      <color indexed="41"/>
      <name val="Arial"/>
      <family val="2"/>
    </font>
    <font>
      <sz val="8"/>
      <color indexed="22"/>
      <name val="Arial"/>
      <family val="2"/>
    </font>
    <font>
      <sz val="10"/>
      <color indexed="22"/>
      <name val="Arial"/>
      <family val="2"/>
    </font>
    <font>
      <sz val="10"/>
      <color indexed="8"/>
      <name val="Tahoma"/>
      <family val="2"/>
    </font>
    <font>
      <sz val="10"/>
      <color indexed="10"/>
      <name val="Tahoma"/>
      <family val="2"/>
    </font>
    <font>
      <b/>
      <sz val="14"/>
      <color indexed="57"/>
      <name val="Arial"/>
      <family val="2"/>
    </font>
    <font>
      <u val="single"/>
      <sz val="8"/>
      <color indexed="12"/>
      <name val="Arial"/>
      <family val="2"/>
    </font>
    <font>
      <sz val="8"/>
      <color indexed="9"/>
      <name val="Arial"/>
      <family val="2"/>
    </font>
    <font>
      <sz val="10"/>
      <name val="Franklin Gothic Book"/>
      <family val="2"/>
    </font>
    <font>
      <i/>
      <sz val="20"/>
      <name val="Franklin Gothic Book"/>
      <family val="2"/>
    </font>
    <font>
      <i/>
      <sz val="9"/>
      <name val="Franklin Gothic Book"/>
      <family val="2"/>
    </font>
    <font>
      <b/>
      <sz val="10"/>
      <name val="Franklin Gothic Book"/>
      <family val="2"/>
    </font>
    <font>
      <sz val="8"/>
      <name val="Book Antiqua"/>
      <family val="1"/>
    </font>
    <font>
      <b/>
      <sz val="11"/>
      <name val="Arial"/>
      <family val="2"/>
    </font>
    <font>
      <sz val="11"/>
      <name val="Calibri"/>
      <family val="2"/>
    </font>
    <font>
      <i/>
      <sz val="12"/>
      <name val="Arial"/>
      <family val="2"/>
    </font>
    <font>
      <sz val="10"/>
      <name val="Perpetua Titling MT"/>
      <family val="1"/>
    </font>
    <font>
      <sz val="14"/>
      <name val="Arial"/>
      <family val="2"/>
    </font>
    <font>
      <b/>
      <sz val="48"/>
      <name val="Arial"/>
      <family val="2"/>
    </font>
    <font>
      <b/>
      <u val="single"/>
      <sz val="11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0"/>
      <color indexed="8"/>
      <name val="Times New Roman"/>
      <family val="1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9"/>
      <name val="Arial Black"/>
      <family val="2"/>
    </font>
    <font>
      <b/>
      <i/>
      <sz val="11"/>
      <color indexed="8"/>
      <name val="Calibri"/>
      <family val="0"/>
    </font>
    <font>
      <sz val="7"/>
      <color indexed="8"/>
      <name val="Calibri"/>
      <family val="0"/>
    </font>
    <font>
      <sz val="8"/>
      <color indexed="8"/>
      <name val="Calibri"/>
      <family val="0"/>
    </font>
    <font>
      <b/>
      <sz val="100"/>
      <color indexed="10"/>
      <name val="Arial Black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</font>
    <font>
      <i/>
      <sz val="12"/>
      <color rgb="FF7F7F7F"/>
      <name val="Arial"/>
      <family val="2"/>
    </font>
    <font>
      <u val="single"/>
      <sz val="10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0"/>
      <color rgb="FF000000"/>
      <name val="Times New Roman"/>
      <family val="1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rgb="FF000000"/>
      <name val="Calibri"/>
      <family val="2"/>
    </font>
    <font>
      <b/>
      <sz val="10"/>
      <color theme="0"/>
      <name val="Arial Black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double"/>
      <top/>
      <bottom style="thin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double"/>
    </border>
    <border>
      <left/>
      <right/>
      <top style="thin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/>
      <right/>
      <top style="double"/>
      <bottom/>
    </border>
    <border>
      <left style="thin"/>
      <right/>
      <top/>
      <bottom style="double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/>
      <bottom style="medium"/>
    </border>
    <border>
      <left/>
      <right style="thin"/>
      <top style="thin"/>
      <bottom style="double"/>
    </border>
    <border>
      <left style="medium"/>
      <right style="thin"/>
      <top style="medium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slantDashDot">
        <color rgb="FFFF0000"/>
      </left>
      <right/>
      <top style="slantDashDot">
        <color rgb="FFFF0000"/>
      </top>
      <bottom/>
    </border>
    <border>
      <left/>
      <right/>
      <top style="slantDashDot">
        <color rgb="FFFF0000"/>
      </top>
      <bottom/>
    </border>
    <border>
      <left/>
      <right style="slantDashDot">
        <color rgb="FFFF0000"/>
      </right>
      <top style="slantDashDot">
        <color rgb="FFFF0000"/>
      </top>
      <bottom/>
    </border>
    <border>
      <left style="slantDashDot">
        <color rgb="FFFF0000"/>
      </left>
      <right/>
      <top/>
      <bottom/>
    </border>
    <border>
      <left/>
      <right style="slantDashDot">
        <color rgb="FFFF0000"/>
      </right>
      <top/>
      <bottom/>
    </border>
    <border>
      <left style="slantDashDot">
        <color rgb="FFFF0000"/>
      </left>
      <right/>
      <top/>
      <bottom style="slantDashDot">
        <color rgb="FFFF0000"/>
      </bottom>
    </border>
    <border>
      <left/>
      <right/>
      <top/>
      <bottom style="slantDashDot">
        <color rgb="FFFF0000"/>
      </bottom>
    </border>
    <border>
      <left/>
      <right style="slantDashDot">
        <color rgb="FFFF0000"/>
      </right>
      <top/>
      <bottom style="slantDashDot">
        <color rgb="FFFF0000"/>
      </bottom>
    </border>
    <border>
      <left style="medium"/>
      <right style="medium"/>
      <top/>
      <bottom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/>
      <top/>
      <bottom style="double"/>
    </border>
    <border>
      <left/>
      <right style="medium"/>
      <top/>
      <bottom style="double"/>
    </border>
    <border>
      <left/>
      <right/>
      <top style="thin"/>
      <bottom style="medium"/>
    </border>
    <border>
      <left style="thin"/>
      <right/>
      <top style="thin"/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5" fillId="30" borderId="1" applyNumberFormat="0" applyAlignment="0" applyProtection="0"/>
    <xf numFmtId="0" fontId="96" fillId="0" borderId="6" applyNumberFormat="0" applyFill="0" applyAlignment="0" applyProtection="0"/>
    <xf numFmtId="0" fontId="97" fillId="31" borderId="0" applyNumberFormat="0" applyBorder="0" applyAlignment="0" applyProtection="0"/>
    <xf numFmtId="0" fontId="98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687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 textRotation="90"/>
      <protection/>
    </xf>
    <xf numFmtId="0" fontId="15" fillId="0" borderId="0" xfId="0" applyFont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wrapText="1"/>
      <protection/>
    </xf>
    <xf numFmtId="0" fontId="20" fillId="33" borderId="0" xfId="0" applyFont="1" applyFill="1" applyBorder="1" applyAlignment="1" applyProtection="1">
      <alignment/>
      <protection hidden="1"/>
    </xf>
    <xf numFmtId="0" fontId="20" fillId="33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 horizontal="right"/>
      <protection/>
    </xf>
    <xf numFmtId="0" fontId="2" fillId="34" borderId="0" xfId="0" applyFont="1" applyFill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169" fontId="21" fillId="35" borderId="0" xfId="0" applyNumberFormat="1" applyFont="1" applyFill="1" applyAlignment="1" applyProtection="1">
      <alignment horizontal="right"/>
      <protection/>
    </xf>
    <xf numFmtId="0" fontId="2" fillId="0" borderId="0" xfId="0" applyFont="1" applyAlignment="1" applyProtection="1">
      <alignment horizontal="right" wrapText="1"/>
      <protection/>
    </xf>
    <xf numFmtId="0" fontId="2" fillId="36" borderId="0" xfId="0" applyFont="1" applyFill="1" applyAlignment="1" applyProtection="1">
      <alignment wrapText="1"/>
      <protection/>
    </xf>
    <xf numFmtId="166" fontId="2" fillId="36" borderId="0" xfId="0" applyNumberFormat="1" applyFont="1" applyFill="1" applyAlignment="1" applyProtection="1">
      <alignment horizontal="right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wrapText="1"/>
      <protection/>
    </xf>
    <xf numFmtId="0" fontId="2" fillId="37" borderId="10" xfId="0" applyFont="1" applyFill="1" applyBorder="1" applyAlignment="1" applyProtection="1">
      <alignment wrapText="1"/>
      <protection/>
    </xf>
    <xf numFmtId="0" fontId="2" fillId="36" borderId="11" xfId="0" applyNumberFormat="1" applyFont="1" applyFill="1" applyBorder="1" applyAlignment="1" applyProtection="1">
      <alignment horizontal="right" shrinkToFit="1"/>
      <protection/>
    </xf>
    <xf numFmtId="0" fontId="20" fillId="35" borderId="10" xfId="0" applyFont="1" applyFill="1" applyBorder="1" applyAlignment="1" applyProtection="1">
      <alignment horizontal="center" wrapText="1"/>
      <protection/>
    </xf>
    <xf numFmtId="0" fontId="21" fillId="35" borderId="12" xfId="0" applyNumberFormat="1" applyFont="1" applyFill="1" applyBorder="1" applyAlignment="1" applyProtection="1">
      <alignment horizontal="left"/>
      <protection/>
    </xf>
    <xf numFmtId="0" fontId="20" fillId="35" borderId="13" xfId="0" applyNumberFormat="1" applyFont="1" applyFill="1" applyBorder="1" applyAlignment="1" applyProtection="1">
      <alignment horizontal="left"/>
      <protection/>
    </xf>
    <xf numFmtId="0" fontId="0" fillId="36" borderId="10" xfId="0" applyFill="1" applyBorder="1" applyAlignment="1" applyProtection="1">
      <alignment horizontal="center" wrapText="1"/>
      <protection/>
    </xf>
    <xf numFmtId="0" fontId="2" fillId="38" borderId="0" xfId="0" applyFont="1" applyFill="1" applyAlignment="1" applyProtection="1">
      <alignment/>
      <protection/>
    </xf>
    <xf numFmtId="0" fontId="2" fillId="39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40" borderId="0" xfId="0" applyFill="1" applyAlignment="1" applyProtection="1">
      <alignment horizontal="center"/>
      <protection/>
    </xf>
    <xf numFmtId="0" fontId="0" fillId="40" borderId="0" xfId="0" applyFill="1" applyAlignment="1" applyProtection="1">
      <alignment/>
      <protection/>
    </xf>
    <xf numFmtId="0" fontId="0" fillId="40" borderId="0" xfId="0" applyFill="1" applyAlignment="1" applyProtection="1">
      <alignment textRotation="57"/>
      <protection/>
    </xf>
    <xf numFmtId="0" fontId="12" fillId="0" borderId="0" xfId="0" applyFont="1" applyAlignment="1" applyProtection="1">
      <alignment/>
      <protection/>
    </xf>
    <xf numFmtId="0" fontId="14" fillId="40" borderId="0" xfId="0" applyFont="1" applyFill="1" applyAlignment="1" applyProtection="1">
      <alignment/>
      <protection/>
    </xf>
    <xf numFmtId="0" fontId="14" fillId="40" borderId="0" xfId="0" applyFont="1" applyFill="1" applyAlignment="1" applyProtection="1">
      <alignment horizontal="center"/>
      <protection/>
    </xf>
    <xf numFmtId="0" fontId="5" fillId="40" borderId="0" xfId="0" applyFont="1" applyFill="1" applyAlignment="1" applyProtection="1">
      <alignment horizontal="center"/>
      <protection/>
    </xf>
    <xf numFmtId="0" fontId="5" fillId="4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shrinkToFit="1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67" fontId="7" fillId="41" borderId="16" xfId="0" applyNumberFormat="1" applyFont="1" applyFill="1" applyBorder="1" applyAlignment="1" applyProtection="1">
      <alignment horizontal="right"/>
      <protection/>
    </xf>
    <xf numFmtId="0" fontId="0" fillId="0" borderId="17" xfId="0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 quotePrefix="1">
      <alignment/>
      <protection/>
    </xf>
    <xf numFmtId="0" fontId="7" fillId="0" borderId="10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/>
      <protection/>
    </xf>
    <xf numFmtId="171" fontId="0" fillId="41" borderId="16" xfId="0" applyNumberFormat="1" applyFill="1" applyBorder="1" applyAlignment="1" applyProtection="1">
      <alignment horizontal="center"/>
      <protection/>
    </xf>
    <xf numFmtId="0" fontId="15" fillId="42" borderId="18" xfId="0" applyFont="1" applyFill="1" applyBorder="1" applyAlignment="1" applyProtection="1">
      <alignment horizontal="center"/>
      <protection locked="0"/>
    </xf>
    <xf numFmtId="1" fontId="20" fillId="35" borderId="19" xfId="0" applyNumberFormat="1" applyFont="1" applyFill="1" applyBorder="1" applyAlignment="1" applyProtection="1">
      <alignment horizontal="left"/>
      <protection/>
    </xf>
    <xf numFmtId="0" fontId="20" fillId="35" borderId="0" xfId="0" applyNumberFormat="1" applyFont="1" applyFill="1" applyAlignment="1" applyProtection="1">
      <alignment horizontal="right"/>
      <protection/>
    </xf>
    <xf numFmtId="0" fontId="2" fillId="37" borderId="0" xfId="0" applyNumberFormat="1" applyFont="1" applyFill="1" applyAlignment="1" applyProtection="1">
      <alignment horizontal="left" wrapText="1"/>
      <protection/>
    </xf>
    <xf numFmtId="177" fontId="2" fillId="0" borderId="0" xfId="0" applyNumberFormat="1" applyFont="1" applyAlignment="1" applyProtection="1">
      <alignment/>
      <protection/>
    </xf>
    <xf numFmtId="177" fontId="2" fillId="43" borderId="0" xfId="0" applyNumberFormat="1" applyFont="1" applyFill="1" applyAlignment="1" applyProtection="1">
      <alignment/>
      <protection/>
    </xf>
    <xf numFmtId="0" fontId="2" fillId="43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0" fillId="0" borderId="0" xfId="0" applyFill="1" applyBorder="1" applyAlignment="1" applyProtection="1" quotePrefix="1">
      <alignment/>
      <protection/>
    </xf>
    <xf numFmtId="1" fontId="2" fillId="0" borderId="0" xfId="0" applyNumberFormat="1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1" fontId="17" fillId="42" borderId="20" xfId="0" applyNumberFormat="1" applyFont="1" applyFill="1" applyBorder="1" applyAlignment="1" applyProtection="1">
      <alignment horizontal="center"/>
      <protection locked="0"/>
    </xf>
    <xf numFmtId="1" fontId="17" fillId="42" borderId="16" xfId="0" applyNumberFormat="1" applyFont="1" applyFill="1" applyBorder="1" applyAlignment="1" applyProtection="1">
      <alignment/>
      <protection locked="0"/>
    </xf>
    <xf numFmtId="1" fontId="17" fillId="42" borderId="15" xfId="0" applyNumberFormat="1" applyFont="1" applyFill="1" applyBorder="1" applyAlignment="1" applyProtection="1">
      <alignment/>
      <protection locked="0"/>
    </xf>
    <xf numFmtId="1" fontId="17" fillId="42" borderId="15" xfId="0" applyNumberFormat="1" applyFont="1" applyFill="1" applyBorder="1" applyAlignment="1" applyProtection="1">
      <alignment/>
      <protection locked="0"/>
    </xf>
    <xf numFmtId="0" fontId="27" fillId="44" borderId="21" xfId="0" applyFont="1" applyFill="1" applyBorder="1" applyAlignment="1" applyProtection="1">
      <alignment horizontal="center"/>
      <protection/>
    </xf>
    <xf numFmtId="1" fontId="22" fillId="44" borderId="22" xfId="0" applyNumberFormat="1" applyFont="1" applyFill="1" applyBorder="1" applyAlignment="1" applyProtection="1">
      <alignment/>
      <protection/>
    </xf>
    <xf numFmtId="1" fontId="22" fillId="44" borderId="22" xfId="0" applyNumberFormat="1" applyFont="1" applyFill="1" applyBorder="1" applyAlignment="1" applyProtection="1">
      <alignment/>
      <protection/>
    </xf>
    <xf numFmtId="1" fontId="22" fillId="44" borderId="23" xfId="0" applyNumberFormat="1" applyFont="1" applyFill="1" applyBorder="1" applyAlignment="1" applyProtection="1">
      <alignment/>
      <protection/>
    </xf>
    <xf numFmtId="1" fontId="17" fillId="42" borderId="24" xfId="0" applyNumberFormat="1" applyFont="1" applyFill="1" applyBorder="1" applyAlignment="1" applyProtection="1">
      <alignment horizontal="center"/>
      <protection locked="0"/>
    </xf>
    <xf numFmtId="1" fontId="17" fillId="42" borderId="25" xfId="0" applyNumberFormat="1" applyFont="1" applyFill="1" applyBorder="1" applyAlignment="1" applyProtection="1">
      <alignment/>
      <protection locked="0"/>
    </xf>
    <xf numFmtId="170" fontId="17" fillId="42" borderId="26" xfId="0" applyNumberFormat="1" applyFont="1" applyFill="1" applyBorder="1" applyAlignment="1" applyProtection="1">
      <alignment/>
      <protection locked="0"/>
    </xf>
    <xf numFmtId="1" fontId="17" fillId="42" borderId="10" xfId="0" applyNumberFormat="1" applyFont="1" applyFill="1" applyBorder="1" applyAlignment="1" applyProtection="1">
      <alignment horizontal="center"/>
      <protection locked="0"/>
    </xf>
    <xf numFmtId="1" fontId="17" fillId="42" borderId="27" xfId="0" applyNumberFormat="1" applyFont="1" applyFill="1" applyBorder="1" applyAlignment="1" applyProtection="1">
      <alignment/>
      <protection locked="0"/>
    </xf>
    <xf numFmtId="0" fontId="2" fillId="0" borderId="28" xfId="0" applyFont="1" applyBorder="1" applyAlignment="1" applyProtection="1">
      <alignment horizontal="center" wrapText="1"/>
      <protection/>
    </xf>
    <xf numFmtId="0" fontId="2" fillId="0" borderId="29" xfId="0" applyFont="1" applyBorder="1" applyAlignment="1" applyProtection="1">
      <alignment horizontal="center" wrapText="1"/>
      <protection/>
    </xf>
    <xf numFmtId="1" fontId="17" fillId="42" borderId="30" xfId="0" applyNumberFormat="1" applyFont="1" applyFill="1" applyBorder="1" applyAlignment="1" applyProtection="1">
      <alignment/>
      <protection locked="0"/>
    </xf>
    <xf numFmtId="1" fontId="17" fillId="42" borderId="31" xfId="0" applyNumberFormat="1" applyFont="1" applyFill="1" applyBorder="1" applyAlignment="1" applyProtection="1">
      <alignment/>
      <protection locked="0"/>
    </xf>
    <xf numFmtId="1" fontId="17" fillId="42" borderId="32" xfId="0" applyNumberFormat="1" applyFont="1" applyFill="1" applyBorder="1" applyAlignment="1" applyProtection="1">
      <alignment/>
      <protection locked="0"/>
    </xf>
    <xf numFmtId="0" fontId="2" fillId="36" borderId="0" xfId="0" applyNumberFormat="1" applyFont="1" applyFill="1" applyBorder="1" applyAlignment="1" applyProtection="1">
      <alignment horizontal="right" shrinkToFit="1"/>
      <protection/>
    </xf>
    <xf numFmtId="0" fontId="0" fillId="42" borderId="0" xfId="0" applyFill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horizontal="center" wrapText="1"/>
      <protection/>
    </xf>
    <xf numFmtId="1" fontId="17" fillId="42" borderId="25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 quotePrefix="1">
      <alignment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164" fontId="0" fillId="42" borderId="11" xfId="0" applyNumberFormat="1" applyFill="1" applyBorder="1" applyAlignment="1" applyProtection="1">
      <alignment/>
      <protection locked="0"/>
    </xf>
    <xf numFmtId="0" fontId="7" fillId="42" borderId="15" xfId="0" applyFont="1" applyFill="1" applyBorder="1" applyAlignment="1" applyProtection="1">
      <alignment/>
      <protection locked="0"/>
    </xf>
    <xf numFmtId="172" fontId="7" fillId="42" borderId="15" xfId="0" applyNumberFormat="1" applyFont="1" applyFill="1" applyBorder="1" applyAlignment="1" applyProtection="1">
      <alignment/>
      <protection locked="0"/>
    </xf>
    <xf numFmtId="164" fontId="7" fillId="42" borderId="15" xfId="0" applyNumberFormat="1" applyFont="1" applyFill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2" fillId="42" borderId="34" xfId="0" applyFont="1" applyFill="1" applyBorder="1" applyAlignment="1" applyProtection="1">
      <alignment/>
      <protection locked="0"/>
    </xf>
    <xf numFmtId="0" fontId="2" fillId="42" borderId="31" xfId="0" applyFont="1" applyFill="1" applyBorder="1" applyAlignment="1" applyProtection="1">
      <alignment/>
      <protection locked="0"/>
    </xf>
    <xf numFmtId="0" fontId="2" fillId="42" borderId="32" xfId="0" applyFont="1" applyFill="1" applyBorder="1" applyAlignment="1" applyProtection="1">
      <alignment/>
      <protection locked="0"/>
    </xf>
    <xf numFmtId="0" fontId="2" fillId="0" borderId="35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 wrapText="1"/>
      <protection/>
    </xf>
    <xf numFmtId="0" fontId="2" fillId="45" borderId="28" xfId="0" applyFont="1" applyFill="1" applyBorder="1" applyAlignment="1" applyProtection="1">
      <alignment horizontal="center" wrapText="1"/>
      <protection/>
    </xf>
    <xf numFmtId="1" fontId="17" fillId="45" borderId="16" xfId="0" applyNumberFormat="1" applyFont="1" applyFill="1" applyBorder="1" applyAlignment="1" applyProtection="1">
      <alignment/>
      <protection locked="0"/>
    </xf>
    <xf numFmtId="1" fontId="17" fillId="45" borderId="15" xfId="0" applyNumberFormat="1" applyFont="1" applyFill="1" applyBorder="1" applyAlignment="1" applyProtection="1">
      <alignment/>
      <protection locked="0"/>
    </xf>
    <xf numFmtId="1" fontId="17" fillId="45" borderId="25" xfId="0" applyNumberFormat="1" applyFont="1" applyFill="1" applyBorder="1" applyAlignment="1" applyProtection="1">
      <alignment/>
      <protection locked="0"/>
    </xf>
    <xf numFmtId="49" fontId="0" fillId="42" borderId="15" xfId="0" applyNumberFormat="1" applyFont="1" applyFill="1" applyBorder="1" applyAlignment="1" applyProtection="1">
      <alignment horizontal="center"/>
      <protection locked="0"/>
    </xf>
    <xf numFmtId="49" fontId="0" fillId="42" borderId="15" xfId="0" applyNumberFormat="1" applyFont="1" applyFill="1" applyBorder="1" applyAlignment="1" applyProtection="1" quotePrefix="1">
      <alignment horizontal="center"/>
      <protection locked="0"/>
    </xf>
    <xf numFmtId="49" fontId="0" fillId="42" borderId="17" xfId="0" applyNumberFormat="1" applyFont="1" applyFill="1" applyBorder="1" applyAlignment="1" applyProtection="1" quotePrefix="1">
      <alignment horizontal="center"/>
      <protection locked="0"/>
    </xf>
    <xf numFmtId="49" fontId="0" fillId="42" borderId="16" xfId="0" applyNumberFormat="1" applyFont="1" applyFill="1" applyBorder="1" applyAlignment="1" applyProtection="1" quotePrefix="1">
      <alignment horizontal="center"/>
      <protection locked="0"/>
    </xf>
    <xf numFmtId="49" fontId="0" fillId="42" borderId="16" xfId="0" applyNumberFormat="1" applyFont="1" applyFill="1" applyBorder="1" applyAlignment="1" applyProtection="1">
      <alignment horizontal="center"/>
      <protection locked="0"/>
    </xf>
    <xf numFmtId="0" fontId="5" fillId="40" borderId="0" xfId="0" applyFont="1" applyFill="1" applyAlignment="1" applyProtection="1">
      <alignment horizontal="left"/>
      <protection/>
    </xf>
    <xf numFmtId="174" fontId="5" fillId="40" borderId="0" xfId="0" applyNumberFormat="1" applyFont="1" applyFill="1" applyAlignment="1" applyProtection="1">
      <alignment horizontal="left"/>
      <protection/>
    </xf>
    <xf numFmtId="174" fontId="6" fillId="0" borderId="0" xfId="0" applyNumberFormat="1" applyFont="1" applyAlignment="1" applyProtection="1">
      <alignment horizontal="left"/>
      <protection/>
    </xf>
    <xf numFmtId="164" fontId="0" fillId="42" borderId="10" xfId="0" applyNumberFormat="1" applyFill="1" applyBorder="1" applyAlignment="1" applyProtection="1">
      <alignment/>
      <protection locked="0"/>
    </xf>
    <xf numFmtId="0" fontId="16" fillId="0" borderId="0" xfId="0" applyFont="1" applyAlignment="1" applyProtection="1">
      <alignment horizontal="center"/>
      <protection/>
    </xf>
    <xf numFmtId="171" fontId="0" fillId="0" borderId="0" xfId="0" applyNumberFormat="1" applyFill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175" fontId="17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41" borderId="10" xfId="0" applyFill="1" applyBorder="1" applyAlignment="1" applyProtection="1">
      <alignment/>
      <protection/>
    </xf>
    <xf numFmtId="0" fontId="0" fillId="41" borderId="36" xfId="0" applyFill="1" applyBorder="1" applyAlignment="1" applyProtection="1">
      <alignment/>
      <protection/>
    </xf>
    <xf numFmtId="0" fontId="5" fillId="40" borderId="0" xfId="0" applyFont="1" applyFill="1" applyAlignment="1" applyProtection="1">
      <alignment horizontal="right"/>
      <protection/>
    </xf>
    <xf numFmtId="1" fontId="17" fillId="41" borderId="36" xfId="0" applyNumberFormat="1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64" fontId="7" fillId="42" borderId="15" xfId="0" applyNumberFormat="1" applyFont="1" applyFill="1" applyBorder="1" applyAlignment="1" applyProtection="1">
      <alignment/>
      <protection locked="0"/>
    </xf>
    <xf numFmtId="0" fontId="0" fillId="0" borderId="37" xfId="0" applyBorder="1" applyAlignment="1" applyProtection="1">
      <alignment wrapText="1"/>
      <protection/>
    </xf>
    <xf numFmtId="1" fontId="15" fillId="46" borderId="27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14" fontId="7" fillId="42" borderId="15" xfId="0" applyNumberFormat="1" applyFont="1" applyFill="1" applyBorder="1" applyAlignment="1" applyProtection="1">
      <alignment/>
      <protection locked="0"/>
    </xf>
    <xf numFmtId="0" fontId="6" fillId="0" borderId="17" xfId="0" applyFont="1" applyBorder="1" applyAlignment="1" applyProtection="1">
      <alignment horizontal="center"/>
      <protection/>
    </xf>
    <xf numFmtId="0" fontId="0" fillId="0" borderId="36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74" fontId="0" fillId="0" borderId="12" xfId="0" applyNumberFormat="1" applyBorder="1" applyAlignment="1" applyProtection="1">
      <alignment horizontal="left"/>
      <protection/>
    </xf>
    <xf numFmtId="171" fontId="0" fillId="0" borderId="0" xfId="0" applyNumberFormat="1" applyFill="1" applyBorder="1" applyAlignment="1" applyProtection="1">
      <alignment horizontal="center"/>
      <protection/>
    </xf>
    <xf numFmtId="49" fontId="0" fillId="42" borderId="17" xfId="0" applyNumberFormat="1" applyFont="1" applyFill="1" applyBorder="1" applyAlignment="1" applyProtection="1">
      <alignment horizontal="center"/>
      <protection locked="0"/>
    </xf>
    <xf numFmtId="168" fontId="6" fillId="0" borderId="0" xfId="0" applyNumberFormat="1" applyFont="1" applyFill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left"/>
      <protection/>
    </xf>
    <xf numFmtId="0" fontId="0" fillId="0" borderId="39" xfId="0" applyBorder="1" applyAlignment="1" applyProtection="1">
      <alignment horizontal="left"/>
      <protection/>
    </xf>
    <xf numFmtId="0" fontId="0" fillId="0" borderId="12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1" fontId="0" fillId="41" borderId="35" xfId="0" applyNumberFormat="1" applyFill="1" applyBorder="1" applyAlignment="1" applyProtection="1">
      <alignment/>
      <protection/>
    </xf>
    <xf numFmtId="165" fontId="0" fillId="41" borderId="38" xfId="0" applyNumberFormat="1" applyFill="1" applyBorder="1" applyAlignment="1" applyProtection="1">
      <alignment/>
      <protection/>
    </xf>
    <xf numFmtId="166" fontId="0" fillId="41" borderId="15" xfId="0" applyNumberFormat="1" applyFill="1" applyBorder="1" applyAlignment="1" applyProtection="1">
      <alignment horizontal="center"/>
      <protection/>
    </xf>
    <xf numFmtId="14" fontId="0" fillId="41" borderId="15" xfId="0" applyNumberFormat="1" applyFill="1" applyBorder="1" applyAlignment="1" applyProtection="1">
      <alignment horizontal="center"/>
      <protection/>
    </xf>
    <xf numFmtId="164" fontId="0" fillId="41" borderId="16" xfId="0" applyNumberFormat="1" applyFill="1" applyBorder="1" applyAlignment="1" applyProtection="1">
      <alignment/>
      <protection/>
    </xf>
    <xf numFmtId="164" fontId="6" fillId="41" borderId="15" xfId="0" applyNumberFormat="1" applyFont="1" applyFill="1" applyBorder="1" applyAlignment="1" applyProtection="1">
      <alignment/>
      <protection/>
    </xf>
    <xf numFmtId="168" fontId="7" fillId="41" borderId="15" xfId="0" applyNumberFormat="1" applyFont="1" applyFill="1" applyBorder="1" applyAlignment="1" applyProtection="1">
      <alignment/>
      <protection/>
    </xf>
    <xf numFmtId="168" fontId="7" fillId="41" borderId="15" xfId="0" applyNumberFormat="1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6" fillId="0" borderId="0" xfId="0" applyFont="1" applyFill="1" applyAlignment="1" applyProtection="1">
      <alignment wrapText="1"/>
      <protection hidden="1"/>
    </xf>
    <xf numFmtId="0" fontId="30" fillId="0" borderId="40" xfId="0" applyFont="1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0" fontId="0" fillId="42" borderId="15" xfId="0" applyFill="1" applyBorder="1" applyAlignment="1" applyProtection="1">
      <alignment/>
      <protection locked="0"/>
    </xf>
    <xf numFmtId="0" fontId="0" fillId="42" borderId="16" xfId="0" applyFill="1" applyBorder="1" applyAlignment="1" applyProtection="1">
      <alignment/>
      <protection locked="0"/>
    </xf>
    <xf numFmtId="0" fontId="0" fillId="42" borderId="15" xfId="0" applyFill="1" applyBorder="1" applyAlignment="1" applyProtection="1">
      <alignment horizontal="center"/>
      <protection locked="0"/>
    </xf>
    <xf numFmtId="14" fontId="0" fillId="42" borderId="15" xfId="0" applyNumberFormat="1" applyFill="1" applyBorder="1" applyAlignment="1" applyProtection="1">
      <alignment/>
      <protection locked="0"/>
    </xf>
    <xf numFmtId="0" fontId="0" fillId="42" borderId="44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41" borderId="36" xfId="0" applyNumberFormat="1" applyFill="1" applyBorder="1" applyAlignment="1" applyProtection="1">
      <alignment/>
      <protection/>
    </xf>
    <xf numFmtId="0" fontId="6" fillId="0" borderId="45" xfId="0" applyFont="1" applyBorder="1" applyAlignment="1" applyProtection="1">
      <alignment/>
      <protection/>
    </xf>
    <xf numFmtId="174" fontId="6" fillId="0" borderId="45" xfId="0" applyNumberFormat="1" applyFont="1" applyBorder="1" applyAlignment="1" applyProtection="1">
      <alignment/>
      <protection/>
    </xf>
    <xf numFmtId="0" fontId="26" fillId="0" borderId="46" xfId="0" applyFont="1" applyBorder="1" applyAlignment="1" applyProtection="1">
      <alignment vertical="center" wrapText="1"/>
      <protection/>
    </xf>
    <xf numFmtId="0" fontId="26" fillId="0" borderId="39" xfId="0" applyFont="1" applyBorder="1" applyAlignment="1" applyProtection="1">
      <alignment vertical="center" wrapText="1"/>
      <protection/>
    </xf>
    <xf numFmtId="0" fontId="0" fillId="0" borderId="39" xfId="0" applyBorder="1" applyAlignment="1" applyProtection="1">
      <alignment/>
      <protection/>
    </xf>
    <xf numFmtId="0" fontId="0" fillId="41" borderId="16" xfId="0" applyNumberFormat="1" applyFill="1" applyBorder="1" applyAlignment="1" applyProtection="1">
      <alignment horizontal="center" shrinkToFit="1"/>
      <protection/>
    </xf>
    <xf numFmtId="0" fontId="0" fillId="41" borderId="17" xfId="0" applyNumberFormat="1" applyFill="1" applyBorder="1" applyAlignment="1" applyProtection="1">
      <alignment horizontal="center" shrinkToFit="1"/>
      <protection/>
    </xf>
    <xf numFmtId="0" fontId="6" fillId="42" borderId="17" xfId="0" applyFont="1" applyFill="1" applyBorder="1" applyAlignment="1" applyProtection="1">
      <alignment horizontal="center"/>
      <protection locked="0"/>
    </xf>
    <xf numFmtId="164" fontId="0" fillId="0" borderId="40" xfId="0" applyNumberFormat="1" applyFill="1" applyBorder="1" applyAlignment="1" applyProtection="1">
      <alignment/>
      <protection/>
    </xf>
    <xf numFmtId="0" fontId="0" fillId="42" borderId="15" xfId="0" applyFont="1" applyFill="1" applyBorder="1" applyAlignment="1" applyProtection="1">
      <alignment/>
      <protection locked="0"/>
    </xf>
    <xf numFmtId="164" fontId="0" fillId="42" borderId="0" xfId="0" applyNumberFormat="1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40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41" fillId="0" borderId="44" xfId="0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178" fontId="6" fillId="0" borderId="0" xfId="0" applyNumberFormat="1" applyFont="1" applyBorder="1" applyAlignment="1" applyProtection="1">
      <alignment/>
      <protection/>
    </xf>
    <xf numFmtId="0" fontId="35" fillId="0" borderId="48" xfId="0" applyFont="1" applyBorder="1" applyAlignment="1" applyProtection="1">
      <alignment/>
      <protection/>
    </xf>
    <xf numFmtId="0" fontId="35" fillId="0" borderId="41" xfId="0" applyFont="1" applyBorder="1" applyAlignment="1" applyProtection="1">
      <alignment/>
      <protection/>
    </xf>
    <xf numFmtId="178" fontId="6" fillId="0" borderId="41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35" fillId="0" borderId="0" xfId="0" applyFont="1" applyAlignment="1" applyProtection="1">
      <alignment/>
      <protection/>
    </xf>
    <xf numFmtId="178" fontId="6" fillId="42" borderId="0" xfId="0" applyNumberFormat="1" applyFont="1" applyFill="1" applyBorder="1" applyAlignment="1" applyProtection="1">
      <alignment/>
      <protection/>
    </xf>
    <xf numFmtId="0" fontId="36" fillId="42" borderId="15" xfId="56" applyFon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37" fillId="42" borderId="15" xfId="0" applyFont="1" applyFill="1" applyBorder="1" applyAlignment="1" applyProtection="1">
      <alignment/>
      <protection/>
    </xf>
    <xf numFmtId="0" fontId="37" fillId="42" borderId="44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0" borderId="49" xfId="0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25" fillId="0" borderId="48" xfId="0" applyFont="1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179" fontId="0" fillId="41" borderId="16" xfId="0" applyNumberFormat="1" applyFill="1" applyBorder="1" applyAlignment="1" applyProtection="1">
      <alignment horizontal="center"/>
      <protection/>
    </xf>
    <xf numFmtId="0" fontId="43" fillId="42" borderId="15" xfId="56" applyFont="1" applyFill="1" applyBorder="1" applyAlignment="1" applyProtection="1">
      <alignment/>
      <protection locked="0"/>
    </xf>
    <xf numFmtId="0" fontId="7" fillId="42" borderId="44" xfId="0" applyFont="1" applyFill="1" applyBorder="1" applyAlignment="1" applyProtection="1">
      <alignment/>
      <protection locked="0"/>
    </xf>
    <xf numFmtId="0" fontId="43" fillId="42" borderId="38" xfId="56" applyFont="1" applyFill="1" applyBorder="1" applyAlignment="1" applyProtection="1">
      <alignment/>
      <protection locked="0"/>
    </xf>
    <xf numFmtId="0" fontId="7" fillId="42" borderId="51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42" borderId="44" xfId="0" applyFill="1" applyBorder="1" applyAlignment="1" applyProtection="1">
      <alignment horizontal="center"/>
      <protection locked="0"/>
    </xf>
    <xf numFmtId="0" fontId="0" fillId="47" borderId="0" xfId="0" applyFill="1" applyAlignment="1" applyProtection="1" quotePrefix="1">
      <alignment/>
      <protection/>
    </xf>
    <xf numFmtId="0" fontId="0" fillId="47" borderId="0" xfId="0" applyFill="1" applyBorder="1" applyAlignment="1" applyProtection="1">
      <alignment/>
      <protection/>
    </xf>
    <xf numFmtId="0" fontId="0" fillId="47" borderId="0" xfId="0" applyFill="1" applyBorder="1" applyAlignment="1" applyProtection="1">
      <alignment horizontal="center"/>
      <protection/>
    </xf>
    <xf numFmtId="0" fontId="7" fillId="47" borderId="10" xfId="0" applyFont="1" applyFill="1" applyBorder="1" applyAlignment="1" applyProtection="1">
      <alignment/>
      <protection/>
    </xf>
    <xf numFmtId="0" fontId="7" fillId="47" borderId="10" xfId="0" applyFont="1" applyFill="1" applyBorder="1" applyAlignment="1" applyProtection="1">
      <alignment horizontal="center" wrapText="1"/>
      <protection/>
    </xf>
    <xf numFmtId="0" fontId="7" fillId="47" borderId="10" xfId="0" applyFont="1" applyFill="1" applyBorder="1" applyAlignment="1" applyProtection="1">
      <alignment/>
      <protection/>
    </xf>
    <xf numFmtId="0" fontId="7" fillId="47" borderId="10" xfId="0" applyFont="1" applyFill="1" applyBorder="1" applyAlignment="1" applyProtection="1">
      <alignment horizontal="center" wrapText="1"/>
      <protection/>
    </xf>
    <xf numFmtId="167" fontId="6" fillId="41" borderId="17" xfId="0" applyNumberFormat="1" applyFont="1" applyFill="1" applyBorder="1" applyAlignment="1" applyProtection="1">
      <alignment horizontal="right"/>
      <protection/>
    </xf>
    <xf numFmtId="169" fontId="44" fillId="35" borderId="0" xfId="0" applyNumberFormat="1" applyFont="1" applyFill="1" applyAlignment="1" applyProtection="1">
      <alignment horizontal="left"/>
      <protection/>
    </xf>
    <xf numFmtId="0" fontId="44" fillId="35" borderId="0" xfId="0" applyFont="1" applyFill="1" applyAlignment="1" applyProtection="1">
      <alignment horizontal="right"/>
      <protection/>
    </xf>
    <xf numFmtId="0" fontId="49" fillId="36" borderId="0" xfId="0" applyFont="1" applyFill="1" applyAlignment="1" applyProtection="1">
      <alignment/>
      <protection/>
    </xf>
    <xf numFmtId="177" fontId="49" fillId="0" borderId="0" xfId="0" applyNumberFormat="1" applyFont="1" applyAlignment="1" applyProtection="1">
      <alignment/>
      <protection/>
    </xf>
    <xf numFmtId="0" fontId="49" fillId="37" borderId="0" xfId="0" applyNumberFormat="1" applyFont="1" applyFill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43" xfId="0" applyFont="1" applyFill="1" applyBorder="1" applyAlignment="1" applyProtection="1">
      <alignment horizontal="right"/>
      <protection/>
    </xf>
    <xf numFmtId="0" fontId="0" fillId="42" borderId="15" xfId="0" applyFont="1" applyFill="1" applyBorder="1" applyAlignment="1" applyProtection="1">
      <alignment/>
      <protection locked="0"/>
    </xf>
    <xf numFmtId="0" fontId="0" fillId="42" borderId="44" xfId="0" applyFont="1" applyFill="1" applyBorder="1" applyAlignment="1" applyProtection="1">
      <alignment/>
      <protection locked="0"/>
    </xf>
    <xf numFmtId="0" fontId="0" fillId="42" borderId="16" xfId="0" applyFont="1" applyFill="1" applyBorder="1" applyAlignment="1" applyProtection="1">
      <alignment/>
      <protection locked="0"/>
    </xf>
    <xf numFmtId="164" fontId="31" fillId="42" borderId="15" xfId="0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0" fillId="0" borderId="0" xfId="61" applyAlignment="1" applyProtection="1">
      <alignment vertical="center"/>
      <protection/>
    </xf>
    <xf numFmtId="0" fontId="0" fillId="0" borderId="0" xfId="61" applyFont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32" fillId="0" borderId="15" xfId="67" applyFont="1" applyBorder="1" applyProtection="1">
      <alignment/>
      <protection locked="0"/>
    </xf>
    <xf numFmtId="0" fontId="0" fillId="0" borderId="12" xfId="67" applyBorder="1" applyProtection="1">
      <alignment/>
      <protection locked="0"/>
    </xf>
    <xf numFmtId="0" fontId="0" fillId="0" borderId="13" xfId="67" applyBorder="1" applyProtection="1">
      <alignment/>
      <protection locked="0"/>
    </xf>
    <xf numFmtId="0" fontId="0" fillId="0" borderId="37" xfId="67" applyBorder="1" applyProtection="1">
      <alignment/>
      <protection locked="0"/>
    </xf>
    <xf numFmtId="171" fontId="0" fillId="0" borderId="13" xfId="67" applyNumberFormat="1" applyBorder="1" applyProtection="1">
      <alignment/>
      <protection locked="0"/>
    </xf>
    <xf numFmtId="165" fontId="0" fillId="0" borderId="37" xfId="67" applyNumberFormat="1" applyBorder="1" applyProtection="1">
      <alignment/>
      <protection locked="0"/>
    </xf>
    <xf numFmtId="0" fontId="0" fillId="0" borderId="23" xfId="67" applyBorder="1" applyProtection="1">
      <alignment/>
      <protection locked="0"/>
    </xf>
    <xf numFmtId="1" fontId="0" fillId="0" borderId="52" xfId="67" applyNumberFormat="1" applyBorder="1" applyProtection="1">
      <alignment/>
      <protection locked="0"/>
    </xf>
    <xf numFmtId="0" fontId="0" fillId="0" borderId="13" xfId="67" applyFill="1" applyBorder="1" applyProtection="1">
      <alignment/>
      <protection locked="0"/>
    </xf>
    <xf numFmtId="165" fontId="0" fillId="0" borderId="52" xfId="67" applyNumberFormat="1" applyBorder="1" applyProtection="1">
      <alignment/>
      <protection locked="0"/>
    </xf>
    <xf numFmtId="0" fontId="0" fillId="0" borderId="38" xfId="67" applyBorder="1" applyProtection="1">
      <alignment/>
      <protection locked="0"/>
    </xf>
    <xf numFmtId="165" fontId="0" fillId="0" borderId="37" xfId="68" applyNumberFormat="1" applyBorder="1" applyProtection="1">
      <alignment/>
      <protection locked="0"/>
    </xf>
    <xf numFmtId="0" fontId="0" fillId="0" borderId="16" xfId="0" applyBorder="1" applyAlignment="1">
      <alignment/>
    </xf>
    <xf numFmtId="0" fontId="0" fillId="0" borderId="51" xfId="0" applyBorder="1" applyAlignment="1" applyProtection="1">
      <alignment/>
      <protection/>
    </xf>
    <xf numFmtId="0" fontId="0" fillId="0" borderId="18" xfId="0" applyBorder="1" applyAlignment="1">
      <alignment horizontal="center"/>
    </xf>
    <xf numFmtId="1" fontId="0" fillId="0" borderId="37" xfId="67" applyNumberFormat="1" applyBorder="1" applyProtection="1">
      <alignment/>
      <protection locked="0"/>
    </xf>
    <xf numFmtId="0" fontId="0" fillId="0" borderId="15" xfId="0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36" xfId="67" applyNumberFormat="1" applyBorder="1" applyProtection="1">
      <alignment/>
      <protection locked="0"/>
    </xf>
    <xf numFmtId="0" fontId="0" fillId="0" borderId="42" xfId="0" applyFont="1" applyBorder="1" applyAlignment="1">
      <alignment/>
    </xf>
    <xf numFmtId="180" fontId="51" fillId="0" borderId="43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03" fillId="0" borderId="43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8" xfId="0" applyBorder="1" applyAlignment="1">
      <alignment/>
    </xf>
    <xf numFmtId="0" fontId="6" fillId="0" borderId="27" xfId="0" applyFont="1" applyBorder="1" applyAlignment="1">
      <alignment/>
    </xf>
    <xf numFmtId="1" fontId="0" fillId="0" borderId="0" xfId="0" applyNumberFormat="1" applyAlignment="1">
      <alignment horizontal="left"/>
    </xf>
    <xf numFmtId="0" fontId="0" fillId="0" borderId="18" xfId="0" applyFont="1" applyBorder="1" applyAlignment="1">
      <alignment/>
    </xf>
    <xf numFmtId="164" fontId="0" fillId="0" borderId="16" xfId="0" applyNumberFormat="1" applyBorder="1" applyAlignment="1">
      <alignment/>
    </xf>
    <xf numFmtId="1" fontId="0" fillId="0" borderId="50" xfId="0" applyNumberFormat="1" applyBorder="1" applyAlignment="1">
      <alignment/>
    </xf>
    <xf numFmtId="0" fontId="0" fillId="0" borderId="35" xfId="0" applyFont="1" applyBorder="1" applyAlignment="1">
      <alignment wrapText="1"/>
    </xf>
    <xf numFmtId="0" fontId="0" fillId="0" borderId="29" xfId="0" applyBorder="1" applyAlignment="1">
      <alignment/>
    </xf>
    <xf numFmtId="164" fontId="0" fillId="42" borderId="10" xfId="0" applyNumberFormat="1" applyFill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64" fontId="0" fillId="42" borderId="15" xfId="0" applyNumberFormat="1" applyFill="1" applyBorder="1" applyAlignment="1" applyProtection="1">
      <alignment/>
      <protection locked="0"/>
    </xf>
    <xf numFmtId="164" fontId="0" fillId="42" borderId="40" xfId="0" applyNumberFormat="1" applyFill="1" applyBorder="1" applyAlignment="1" applyProtection="1">
      <alignment/>
      <protection locked="0"/>
    </xf>
    <xf numFmtId="164" fontId="24" fillId="41" borderId="11" xfId="0" applyNumberFormat="1" applyFont="1" applyFill="1" applyBorder="1" applyAlignment="1" applyProtection="1">
      <alignment/>
      <protection/>
    </xf>
    <xf numFmtId="164" fontId="0" fillId="0" borderId="40" xfId="0" applyNumberFormat="1" applyFill="1" applyBorder="1" applyAlignment="1" applyProtection="1">
      <alignment/>
      <protection locked="0"/>
    </xf>
    <xf numFmtId="164" fontId="0" fillId="47" borderId="0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42" borderId="53" xfId="0" applyFont="1" applyFill="1" applyBorder="1" applyAlignment="1" applyProtection="1">
      <alignment/>
      <protection locked="0"/>
    </xf>
    <xf numFmtId="0" fontId="0" fillId="42" borderId="20" xfId="0" applyFont="1" applyFill="1" applyBorder="1" applyAlignment="1" applyProtection="1">
      <alignment/>
      <protection locked="0"/>
    </xf>
    <xf numFmtId="0" fontId="0" fillId="0" borderId="0" xfId="61">
      <alignment/>
      <protection/>
    </xf>
    <xf numFmtId="0" fontId="0" fillId="0" borderId="15" xfId="61" applyBorder="1" applyProtection="1">
      <alignment/>
      <protection/>
    </xf>
    <xf numFmtId="0" fontId="6" fillId="0" borderId="0" xfId="61" applyFont="1" applyProtection="1">
      <alignment/>
      <protection/>
    </xf>
    <xf numFmtId="173" fontId="0" fillId="0" borderId="15" xfId="61" applyNumberFormat="1" applyBorder="1" applyProtection="1">
      <alignment/>
      <protection/>
    </xf>
    <xf numFmtId="0" fontId="0" fillId="0" borderId="15" xfId="61" applyFont="1" applyBorder="1" applyProtection="1">
      <alignment/>
      <protection/>
    </xf>
    <xf numFmtId="0" fontId="0" fillId="0" borderId="15" xfId="61" applyFont="1" applyFill="1" applyBorder="1" applyProtection="1">
      <alignment/>
      <protection/>
    </xf>
    <xf numFmtId="1" fontId="0" fillId="0" borderId="15" xfId="61" applyNumberFormat="1" applyBorder="1" applyProtection="1">
      <alignment/>
      <protection/>
    </xf>
    <xf numFmtId="0" fontId="0" fillId="0" borderId="15" xfId="61" applyBorder="1" applyAlignment="1" applyProtection="1">
      <alignment horizontal="center"/>
      <protection/>
    </xf>
    <xf numFmtId="0" fontId="0" fillId="0" borderId="16" xfId="61" applyBorder="1" applyAlignment="1" applyProtection="1">
      <alignment horizontal="center"/>
      <protection/>
    </xf>
    <xf numFmtId="0" fontId="0" fillId="0" borderId="16" xfId="61" applyFont="1" applyBorder="1" applyAlignment="1" applyProtection="1">
      <alignment horizontal="center"/>
      <protection/>
    </xf>
    <xf numFmtId="0" fontId="0" fillId="0" borderId="15" xfId="61" applyFont="1" applyBorder="1" applyAlignment="1" applyProtection="1">
      <alignment horizontal="center"/>
      <protection/>
    </xf>
    <xf numFmtId="167" fontId="0" fillId="0" borderId="44" xfId="61" applyNumberFormat="1" applyFont="1" applyBorder="1" applyAlignment="1" applyProtection="1">
      <alignment horizontal="center"/>
      <protection/>
    </xf>
    <xf numFmtId="0" fontId="0" fillId="0" borderId="44" xfId="61" applyFill="1" applyBorder="1" applyAlignment="1" applyProtection="1">
      <alignment horizontal="center"/>
      <protection/>
    </xf>
    <xf numFmtId="0" fontId="0" fillId="0" borderId="54" xfId="61" applyFont="1" applyFill="1" applyBorder="1" applyAlignment="1" applyProtection="1">
      <alignment horizontal="center"/>
      <protection/>
    </xf>
    <xf numFmtId="0" fontId="6" fillId="0" borderId="29" xfId="61" applyFont="1" applyBorder="1" applyAlignment="1" applyProtection="1">
      <alignment horizontal="center"/>
      <protection/>
    </xf>
    <xf numFmtId="49" fontId="0" fillId="0" borderId="15" xfId="61" applyNumberFormat="1" applyBorder="1" applyAlignment="1" applyProtection="1">
      <alignment horizontal="right"/>
      <protection/>
    </xf>
    <xf numFmtId="168" fontId="0" fillId="41" borderId="15" xfId="0" applyNumberFormat="1" applyFont="1" applyFill="1" applyBorder="1" applyAlignment="1" applyProtection="1">
      <alignment/>
      <protection/>
    </xf>
    <xf numFmtId="168" fontId="0" fillId="0" borderId="0" xfId="0" applyNumberFormat="1" applyFont="1" applyFill="1" applyBorder="1" applyAlignment="1" applyProtection="1">
      <alignment/>
      <protection/>
    </xf>
    <xf numFmtId="164" fontId="0" fillId="42" borderId="15" xfId="0" applyNumberFormat="1" applyFill="1" applyBorder="1" applyAlignment="1" applyProtection="1">
      <alignment/>
      <protection locked="0"/>
    </xf>
    <xf numFmtId="167" fontId="8" fillId="41" borderId="16" xfId="0" applyNumberFormat="1" applyFont="1" applyFill="1" applyBorder="1" applyAlignment="1" applyProtection="1">
      <alignment horizontal="right"/>
      <protection/>
    </xf>
    <xf numFmtId="167" fontId="8" fillId="41" borderId="17" xfId="0" applyNumberFormat="1" applyFont="1" applyFill="1" applyBorder="1" applyAlignment="1" applyProtection="1">
      <alignment horizontal="right"/>
      <protection/>
    </xf>
    <xf numFmtId="0" fontId="0" fillId="42" borderId="16" xfId="0" applyFont="1" applyFill="1" applyBorder="1" applyAlignment="1" applyProtection="1">
      <alignment horizontal="center"/>
      <protection locked="0"/>
    </xf>
    <xf numFmtId="165" fontId="0" fillId="42" borderId="36" xfId="0" applyNumberFormat="1" applyFont="1" applyFill="1" applyBorder="1" applyAlignment="1" applyProtection="1">
      <alignment/>
      <protection locked="0"/>
    </xf>
    <xf numFmtId="0" fontId="31" fillId="42" borderId="15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/>
    </xf>
    <xf numFmtId="0" fontId="0" fillId="0" borderId="48" xfId="0" applyFill="1" applyBorder="1" applyAlignment="1" applyProtection="1">
      <alignment/>
      <protection/>
    </xf>
    <xf numFmtId="0" fontId="11" fillId="0" borderId="0" xfId="0" applyFont="1" applyAlignment="1" applyProtection="1" quotePrefix="1">
      <alignment horizontal="right"/>
      <protection/>
    </xf>
    <xf numFmtId="0" fontId="0" fillId="42" borderId="15" xfId="0" applyFont="1" applyFill="1" applyBorder="1" applyAlignment="1" applyProtection="1">
      <alignment horizontal="center"/>
      <protection locked="0"/>
    </xf>
    <xf numFmtId="0" fontId="0" fillId="41" borderId="0" xfId="61" applyFill="1" applyBorder="1" applyProtection="1">
      <alignment/>
      <protection/>
    </xf>
    <xf numFmtId="0" fontId="0" fillId="41" borderId="33" xfId="61" applyFill="1" applyBorder="1" applyProtection="1">
      <alignment/>
      <protection/>
    </xf>
    <xf numFmtId="0" fontId="0" fillId="41" borderId="47" xfId="61" applyFill="1" applyBorder="1" applyProtection="1">
      <alignment/>
      <protection/>
    </xf>
    <xf numFmtId="0" fontId="0" fillId="41" borderId="50" xfId="61" applyFill="1" applyBorder="1" applyProtection="1">
      <alignment/>
      <protection/>
    </xf>
    <xf numFmtId="0" fontId="33" fillId="41" borderId="0" xfId="61" applyFont="1" applyFill="1" applyBorder="1" applyProtection="1">
      <alignment/>
      <protection/>
    </xf>
    <xf numFmtId="0" fontId="7" fillId="41" borderId="0" xfId="61" applyFont="1" applyFill="1" applyBorder="1" applyProtection="1">
      <alignment/>
      <protection/>
    </xf>
    <xf numFmtId="0" fontId="7" fillId="41" borderId="41" xfId="61" applyFont="1" applyFill="1" applyBorder="1" applyProtection="1">
      <alignment/>
      <protection/>
    </xf>
    <xf numFmtId="0" fontId="33" fillId="41" borderId="41" xfId="61" applyFont="1" applyFill="1" applyBorder="1" applyProtection="1">
      <alignment/>
      <protection/>
    </xf>
    <xf numFmtId="0" fontId="0" fillId="41" borderId="42" xfId="61" applyFill="1" applyBorder="1" applyProtection="1">
      <alignment/>
      <protection/>
    </xf>
    <xf numFmtId="0" fontId="7" fillId="41" borderId="43" xfId="61" applyFont="1" applyFill="1" applyBorder="1" applyProtection="1">
      <alignment/>
      <protection/>
    </xf>
    <xf numFmtId="164" fontId="0" fillId="41" borderId="0" xfId="61" applyNumberFormat="1" applyFill="1" applyBorder="1" applyAlignment="1" applyProtection="1">
      <alignment horizontal="center"/>
      <protection/>
    </xf>
    <xf numFmtId="0" fontId="0" fillId="41" borderId="48" xfId="61" applyFill="1" applyBorder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6" fillId="0" borderId="0" xfId="61" applyFont="1" applyAlignment="1" applyProtection="1">
      <alignment horizontal="center"/>
      <protection/>
    </xf>
    <xf numFmtId="0" fontId="29" fillId="0" borderId="0" xfId="56" applyAlignment="1" applyProtection="1">
      <alignment/>
      <protection/>
    </xf>
    <xf numFmtId="0" fontId="0" fillId="47" borderId="0" xfId="61" applyFill="1" applyBorder="1" applyProtection="1">
      <alignment/>
      <protection/>
    </xf>
    <xf numFmtId="0" fontId="52" fillId="0" borderId="0" xfId="0" applyFont="1" applyAlignment="1" applyProtection="1">
      <alignment/>
      <protection/>
    </xf>
    <xf numFmtId="0" fontId="0" fillId="0" borderId="0" xfId="61" applyProtection="1">
      <alignment/>
      <protection/>
    </xf>
    <xf numFmtId="0" fontId="0" fillId="0" borderId="0" xfId="61" applyFill="1" applyProtection="1">
      <alignment/>
      <protection/>
    </xf>
    <xf numFmtId="0" fontId="32" fillId="0" borderId="0" xfId="61" applyFont="1" applyProtection="1">
      <alignment/>
      <protection/>
    </xf>
    <xf numFmtId="0" fontId="15" fillId="42" borderId="18" xfId="0" applyFont="1" applyFill="1" applyBorder="1" applyAlignment="1" applyProtection="1">
      <alignment horizontal="center"/>
      <protection/>
    </xf>
    <xf numFmtId="170" fontId="17" fillId="42" borderId="26" xfId="0" applyNumberFormat="1" applyFont="1" applyFill="1" applyBorder="1" applyAlignment="1" applyProtection="1">
      <alignment/>
      <protection/>
    </xf>
    <xf numFmtId="1" fontId="17" fillId="42" borderId="10" xfId="0" applyNumberFormat="1" applyFont="1" applyFill="1" applyBorder="1" applyAlignment="1" applyProtection="1">
      <alignment horizontal="center"/>
      <protection/>
    </xf>
    <xf numFmtId="1" fontId="17" fillId="42" borderId="27" xfId="0" applyNumberFormat="1" applyFont="1" applyFill="1" applyBorder="1" applyAlignment="1" applyProtection="1">
      <alignment/>
      <protection/>
    </xf>
    <xf numFmtId="1" fontId="17" fillId="42" borderId="30" xfId="0" applyNumberFormat="1" applyFont="1" applyFill="1" applyBorder="1" applyAlignment="1" applyProtection="1">
      <alignment/>
      <protection/>
    </xf>
    <xf numFmtId="1" fontId="17" fillId="45" borderId="16" xfId="0" applyNumberFormat="1" applyFont="1" applyFill="1" applyBorder="1" applyAlignment="1" applyProtection="1">
      <alignment/>
      <protection/>
    </xf>
    <xf numFmtId="1" fontId="17" fillId="42" borderId="16" xfId="0" applyNumberFormat="1" applyFont="1" applyFill="1" applyBorder="1" applyAlignment="1" applyProtection="1">
      <alignment/>
      <protection/>
    </xf>
    <xf numFmtId="0" fontId="2" fillId="42" borderId="34" xfId="0" applyFont="1" applyFill="1" applyBorder="1" applyAlignment="1" applyProtection="1">
      <alignment/>
      <protection/>
    </xf>
    <xf numFmtId="1" fontId="17" fillId="42" borderId="20" xfId="0" applyNumberFormat="1" applyFont="1" applyFill="1" applyBorder="1" applyAlignment="1" applyProtection="1">
      <alignment horizontal="center"/>
      <protection/>
    </xf>
    <xf numFmtId="1" fontId="17" fillId="45" borderId="15" xfId="0" applyNumberFormat="1" applyFont="1" applyFill="1" applyBorder="1" applyAlignment="1" applyProtection="1">
      <alignment/>
      <protection/>
    </xf>
    <xf numFmtId="1" fontId="17" fillId="42" borderId="15" xfId="0" applyNumberFormat="1" applyFont="1" applyFill="1" applyBorder="1" applyAlignment="1" applyProtection="1">
      <alignment/>
      <protection/>
    </xf>
    <xf numFmtId="0" fontId="2" fillId="42" borderId="31" xfId="0" applyFont="1" applyFill="1" applyBorder="1" applyAlignment="1" applyProtection="1">
      <alignment/>
      <protection/>
    </xf>
    <xf numFmtId="1" fontId="17" fillId="42" borderId="15" xfId="0" applyNumberFormat="1" applyFont="1" applyFill="1" applyBorder="1" applyAlignment="1" applyProtection="1">
      <alignment/>
      <protection/>
    </xf>
    <xf numFmtId="1" fontId="17" fillId="42" borderId="31" xfId="0" applyNumberFormat="1" applyFont="1" applyFill="1" applyBorder="1" applyAlignment="1" applyProtection="1">
      <alignment/>
      <protection/>
    </xf>
    <xf numFmtId="1" fontId="17" fillId="42" borderId="24" xfId="0" applyNumberFormat="1" applyFont="1" applyFill="1" applyBorder="1" applyAlignment="1" applyProtection="1">
      <alignment horizontal="center"/>
      <protection/>
    </xf>
    <xf numFmtId="1" fontId="17" fillId="42" borderId="25" xfId="0" applyNumberFormat="1" applyFont="1" applyFill="1" applyBorder="1" applyAlignment="1" applyProtection="1">
      <alignment/>
      <protection/>
    </xf>
    <xf numFmtId="1" fontId="17" fillId="42" borderId="32" xfId="0" applyNumberFormat="1" applyFont="1" applyFill="1" applyBorder="1" applyAlignment="1" applyProtection="1">
      <alignment/>
      <protection/>
    </xf>
    <xf numFmtId="1" fontId="17" fillId="45" borderId="25" xfId="0" applyNumberFormat="1" applyFont="1" applyFill="1" applyBorder="1" applyAlignment="1" applyProtection="1">
      <alignment/>
      <protection/>
    </xf>
    <xf numFmtId="1" fontId="17" fillId="42" borderId="25" xfId="0" applyNumberFormat="1" applyFont="1" applyFill="1" applyBorder="1" applyAlignment="1" applyProtection="1">
      <alignment/>
      <protection/>
    </xf>
    <xf numFmtId="0" fontId="2" fillId="42" borderId="32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165" fontId="0" fillId="42" borderId="36" xfId="0" applyNumberFormat="1" applyFont="1" applyFill="1" applyBorder="1" applyAlignment="1" applyProtection="1">
      <alignment/>
      <protection/>
    </xf>
    <xf numFmtId="165" fontId="53" fillId="42" borderId="36" xfId="0" applyNumberFormat="1" applyFont="1" applyFill="1" applyBorder="1" applyAlignment="1" applyProtection="1">
      <alignment/>
      <protection/>
    </xf>
    <xf numFmtId="49" fontId="53" fillId="42" borderId="16" xfId="0" applyNumberFormat="1" applyFont="1" applyFill="1" applyBorder="1" applyAlignment="1" applyProtection="1">
      <alignment horizontal="center"/>
      <protection/>
    </xf>
    <xf numFmtId="49" fontId="53" fillId="42" borderId="15" xfId="0" applyNumberFormat="1" applyFont="1" applyFill="1" applyBorder="1" applyAlignment="1" applyProtection="1">
      <alignment horizontal="center"/>
      <protection/>
    </xf>
    <xf numFmtId="49" fontId="0" fillId="42" borderId="16" xfId="0" applyNumberFormat="1" applyFont="1" applyFill="1" applyBorder="1" applyAlignment="1" applyProtection="1">
      <alignment horizontal="center"/>
      <protection/>
    </xf>
    <xf numFmtId="49" fontId="0" fillId="42" borderId="15" xfId="0" applyNumberFormat="1" applyFont="1" applyFill="1" applyBorder="1" applyAlignment="1" applyProtection="1">
      <alignment horizontal="center"/>
      <protection/>
    </xf>
    <xf numFmtId="49" fontId="0" fillId="42" borderId="15" xfId="0" applyNumberFormat="1" applyFont="1" applyFill="1" applyBorder="1" applyAlignment="1" applyProtection="1" quotePrefix="1">
      <alignment horizontal="center"/>
      <protection/>
    </xf>
    <xf numFmtId="49" fontId="0" fillId="42" borderId="17" xfId="0" applyNumberFormat="1" applyFont="1" applyFill="1" applyBorder="1" applyAlignment="1" applyProtection="1" quotePrefix="1">
      <alignment horizontal="center"/>
      <protection/>
    </xf>
    <xf numFmtId="0" fontId="6" fillId="42" borderId="17" xfId="0" applyFont="1" applyFill="1" applyBorder="1" applyAlignment="1" applyProtection="1">
      <alignment horizontal="center"/>
      <protection/>
    </xf>
    <xf numFmtId="49" fontId="53" fillId="42" borderId="16" xfId="0" applyNumberFormat="1" applyFont="1" applyFill="1" applyBorder="1" applyAlignment="1" applyProtection="1" quotePrefix="1">
      <alignment horizontal="center"/>
      <protection/>
    </xf>
    <xf numFmtId="49" fontId="53" fillId="42" borderId="15" xfId="0" applyNumberFormat="1" applyFont="1" applyFill="1" applyBorder="1" applyAlignment="1" applyProtection="1" quotePrefix="1">
      <alignment horizontal="center"/>
      <protection/>
    </xf>
    <xf numFmtId="0" fontId="0" fillId="42" borderId="20" xfId="0" applyFont="1" applyFill="1" applyBorder="1" applyAlignment="1" applyProtection="1">
      <alignment/>
      <protection/>
    </xf>
    <xf numFmtId="0" fontId="0" fillId="42" borderId="53" xfId="0" applyFont="1" applyFill="1" applyBorder="1" applyAlignment="1" applyProtection="1">
      <alignment/>
      <protection/>
    </xf>
    <xf numFmtId="167" fontId="38" fillId="48" borderId="16" xfId="0" applyNumberFormat="1" applyFont="1" applyFill="1" applyBorder="1" applyAlignment="1" applyProtection="1">
      <alignment horizontal="right"/>
      <protection/>
    </xf>
    <xf numFmtId="167" fontId="38" fillId="48" borderId="15" xfId="0" applyNumberFormat="1" applyFont="1" applyFill="1" applyBorder="1" applyAlignment="1" applyProtection="1">
      <alignment horizontal="right"/>
      <protection/>
    </xf>
    <xf numFmtId="167" fontId="38" fillId="48" borderId="15" xfId="0" applyNumberFormat="1" applyFont="1" applyFill="1" applyBorder="1" applyAlignment="1" applyProtection="1" quotePrefix="1">
      <alignment horizontal="right"/>
      <protection/>
    </xf>
    <xf numFmtId="167" fontId="39" fillId="48" borderId="15" xfId="0" applyNumberFormat="1" applyFont="1" applyFill="1" applyBorder="1" applyAlignment="1" applyProtection="1">
      <alignment horizontal="right"/>
      <protection/>
    </xf>
    <xf numFmtId="167" fontId="38" fillId="48" borderId="53" xfId="0" applyNumberFormat="1" applyFont="1" applyFill="1" applyBorder="1" applyAlignment="1" applyProtection="1">
      <alignment horizontal="right"/>
      <protection/>
    </xf>
    <xf numFmtId="167" fontId="39" fillId="48" borderId="17" xfId="0" applyNumberFormat="1" applyFont="1" applyFill="1" applyBorder="1" applyAlignment="1" applyProtection="1">
      <alignment horizontal="right"/>
      <protection/>
    </xf>
    <xf numFmtId="167" fontId="38" fillId="48" borderId="17" xfId="0" applyNumberFormat="1" applyFont="1" applyFill="1" applyBorder="1" applyAlignment="1" applyProtection="1">
      <alignment horizontal="right"/>
      <protection/>
    </xf>
    <xf numFmtId="0" fontId="0" fillId="0" borderId="0" xfId="61" applyFont="1" applyProtection="1">
      <alignment/>
      <protection/>
    </xf>
    <xf numFmtId="0" fontId="0" fillId="42" borderId="16" xfId="0" applyFont="1" applyFill="1" applyBorder="1" applyAlignment="1" applyProtection="1">
      <alignment horizontal="center"/>
      <protection/>
    </xf>
    <xf numFmtId="0" fontId="0" fillId="42" borderId="15" xfId="0" applyFont="1" applyFill="1" applyBorder="1" applyAlignment="1" applyProtection="1">
      <alignment/>
      <protection/>
    </xf>
    <xf numFmtId="0" fontId="0" fillId="42" borderId="15" xfId="0" applyFill="1" applyBorder="1" applyAlignment="1" applyProtection="1">
      <alignment/>
      <protection/>
    </xf>
    <xf numFmtId="0" fontId="43" fillId="42" borderId="15" xfId="56" applyFont="1" applyFill="1" applyBorder="1" applyAlignment="1" applyProtection="1">
      <alignment/>
      <protection/>
    </xf>
    <xf numFmtId="0" fontId="0" fillId="42" borderId="16" xfId="0" applyFill="1" applyBorder="1" applyAlignment="1" applyProtection="1">
      <alignment/>
      <protection/>
    </xf>
    <xf numFmtId="0" fontId="0" fillId="42" borderId="15" xfId="0" applyFill="1" applyBorder="1" applyAlignment="1" applyProtection="1">
      <alignment horizontal="center"/>
      <protection/>
    </xf>
    <xf numFmtId="0" fontId="0" fillId="42" borderId="15" xfId="0" applyFont="1" applyFill="1" applyBorder="1" applyAlignment="1" applyProtection="1">
      <alignment horizontal="center"/>
      <protection/>
    </xf>
    <xf numFmtId="14" fontId="0" fillId="42" borderId="15" xfId="0" applyNumberFormat="1" applyFill="1" applyBorder="1" applyAlignment="1" applyProtection="1">
      <alignment/>
      <protection/>
    </xf>
    <xf numFmtId="0" fontId="7" fillId="42" borderId="15" xfId="0" applyFont="1" applyFill="1" applyBorder="1" applyAlignment="1" applyProtection="1">
      <alignment/>
      <protection/>
    </xf>
    <xf numFmtId="0" fontId="0" fillId="42" borderId="44" xfId="0" applyFill="1" applyBorder="1" applyAlignment="1" applyProtection="1">
      <alignment horizontal="center"/>
      <protection/>
    </xf>
    <xf numFmtId="0" fontId="0" fillId="42" borderId="44" xfId="0" applyFont="1" applyFill="1" applyBorder="1" applyAlignment="1" applyProtection="1">
      <alignment/>
      <protection/>
    </xf>
    <xf numFmtId="0" fontId="0" fillId="42" borderId="44" xfId="0" applyFill="1" applyBorder="1" applyAlignment="1" applyProtection="1">
      <alignment/>
      <protection/>
    </xf>
    <xf numFmtId="0" fontId="7" fillId="42" borderId="44" xfId="0" applyFont="1" applyFill="1" applyBorder="1" applyAlignment="1" applyProtection="1">
      <alignment/>
      <protection/>
    </xf>
    <xf numFmtId="0" fontId="0" fillId="42" borderId="16" xfId="0" applyFont="1" applyFill="1" applyBorder="1" applyAlignment="1" applyProtection="1">
      <alignment/>
      <protection/>
    </xf>
    <xf numFmtId="0" fontId="43" fillId="42" borderId="38" xfId="56" applyFont="1" applyFill="1" applyBorder="1" applyAlignment="1" applyProtection="1">
      <alignment/>
      <protection/>
    </xf>
    <xf numFmtId="0" fontId="7" fillId="42" borderId="51" xfId="0" applyFont="1" applyFill="1" applyBorder="1" applyAlignment="1" applyProtection="1">
      <alignment/>
      <protection/>
    </xf>
    <xf numFmtId="0" fontId="54" fillId="0" borderId="0" xfId="0" applyFont="1" applyAlignment="1" applyProtection="1">
      <alignment horizontal="right" vertical="center"/>
      <protection/>
    </xf>
    <xf numFmtId="0" fontId="29" fillId="42" borderId="15" xfId="56" applyFill="1" applyBorder="1" applyAlignment="1" applyProtection="1">
      <alignment horizontal="center"/>
      <protection/>
    </xf>
    <xf numFmtId="0" fontId="36" fillId="42" borderId="15" xfId="56" applyFont="1" applyFill="1" applyBorder="1" applyAlignment="1" applyProtection="1">
      <alignment horizontal="center"/>
      <protection/>
    </xf>
    <xf numFmtId="0" fontId="56" fillId="0" borderId="0" xfId="61" applyFont="1" applyAlignment="1" applyProtection="1">
      <alignment horizontal="left" vertical="center"/>
      <protection/>
    </xf>
    <xf numFmtId="0" fontId="6" fillId="0" borderId="55" xfId="61" applyFont="1" applyBorder="1" applyAlignment="1" applyProtection="1">
      <alignment horizontal="center"/>
      <protection/>
    </xf>
    <xf numFmtId="0" fontId="0" fillId="0" borderId="56" xfId="0" applyBorder="1" applyAlignment="1" applyProtection="1">
      <alignment/>
      <protection/>
    </xf>
    <xf numFmtId="0" fontId="6" fillId="0" borderId="57" xfId="61" applyFont="1" applyBorder="1" applyAlignment="1" applyProtection="1">
      <alignment horizontal="center"/>
      <protection/>
    </xf>
    <xf numFmtId="0" fontId="6" fillId="0" borderId="39" xfId="61" applyFont="1" applyBorder="1" applyAlignment="1" applyProtection="1">
      <alignment horizontal="center"/>
      <protection/>
    </xf>
    <xf numFmtId="0" fontId="0" fillId="0" borderId="39" xfId="61" applyBorder="1" applyProtection="1">
      <alignment/>
      <protection/>
    </xf>
    <xf numFmtId="0" fontId="0" fillId="0" borderId="58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14" fontId="6" fillId="0" borderId="0" xfId="0" applyNumberFormat="1" applyFont="1" applyAlignment="1">
      <alignment horizontal="left" vertical="top" wrapText="1"/>
    </xf>
    <xf numFmtId="167" fontId="7" fillId="48" borderId="16" xfId="0" applyNumberFormat="1" applyFont="1" applyFill="1" applyBorder="1" applyAlignment="1" applyProtection="1">
      <alignment horizontal="right"/>
      <protection locked="0"/>
    </xf>
    <xf numFmtId="167" fontId="7" fillId="48" borderId="15" xfId="0" applyNumberFormat="1" applyFont="1" applyFill="1" applyBorder="1" applyAlignment="1" applyProtection="1">
      <alignment horizontal="right"/>
      <protection locked="0"/>
    </xf>
    <xf numFmtId="167" fontId="7" fillId="48" borderId="15" xfId="0" applyNumberFormat="1" applyFont="1" applyFill="1" applyBorder="1" applyAlignment="1" applyProtection="1" quotePrefix="1">
      <alignment horizontal="right"/>
      <protection locked="0"/>
    </xf>
    <xf numFmtId="167" fontId="0" fillId="48" borderId="15" xfId="0" applyNumberFormat="1" applyFont="1" applyFill="1" applyBorder="1" applyAlignment="1" applyProtection="1">
      <alignment horizontal="right"/>
      <protection locked="0"/>
    </xf>
    <xf numFmtId="167" fontId="7" fillId="48" borderId="53" xfId="0" applyNumberFormat="1" applyFont="1" applyFill="1" applyBorder="1" applyAlignment="1" applyProtection="1">
      <alignment horizontal="right"/>
      <protection locked="0"/>
    </xf>
    <xf numFmtId="167" fontId="0" fillId="48" borderId="17" xfId="0" applyNumberFormat="1" applyFont="1" applyFill="1" applyBorder="1" applyAlignment="1" applyProtection="1">
      <alignment horizontal="right"/>
      <protection locked="0"/>
    </xf>
    <xf numFmtId="167" fontId="7" fillId="48" borderId="17" xfId="0" applyNumberFormat="1" applyFont="1" applyFill="1" applyBorder="1" applyAlignment="1" applyProtection="1">
      <alignment horizontal="right"/>
      <protection locked="0"/>
    </xf>
    <xf numFmtId="0" fontId="48" fillId="0" borderId="0" xfId="63" applyFont="1" applyProtection="1">
      <alignment/>
      <protection/>
    </xf>
    <xf numFmtId="0" fontId="46" fillId="0" borderId="0" xfId="63" applyFont="1" applyAlignment="1" applyProtection="1">
      <alignment/>
      <protection/>
    </xf>
    <xf numFmtId="0" fontId="46" fillId="0" borderId="0" xfId="63" applyFont="1" applyAlignment="1" applyProtection="1">
      <alignment horizontal="center"/>
      <protection/>
    </xf>
    <xf numFmtId="0" fontId="47" fillId="0" borderId="0" xfId="63" applyFont="1" applyAlignment="1" applyProtection="1">
      <alignment horizontal="left"/>
      <protection/>
    </xf>
    <xf numFmtId="0" fontId="0" fillId="0" borderId="0" xfId="63" applyProtection="1">
      <alignment/>
      <protection/>
    </xf>
    <xf numFmtId="0" fontId="6" fillId="0" borderId="0" xfId="63" applyFont="1" applyProtection="1">
      <alignment/>
      <protection/>
    </xf>
    <xf numFmtId="0" fontId="48" fillId="0" borderId="0" xfId="63" applyFont="1" applyBorder="1" applyAlignment="1" applyProtection="1">
      <alignment horizontal="center"/>
      <protection/>
    </xf>
    <xf numFmtId="0" fontId="45" fillId="0" borderId="0" xfId="63" applyFont="1" applyProtection="1">
      <alignment/>
      <protection/>
    </xf>
    <xf numFmtId="0" fontId="45" fillId="0" borderId="0" xfId="63" applyFont="1" applyBorder="1" applyAlignment="1" applyProtection="1">
      <alignment/>
      <protection/>
    </xf>
    <xf numFmtId="0" fontId="83" fillId="0" borderId="0" xfId="65" applyProtection="1">
      <alignment/>
      <protection/>
    </xf>
    <xf numFmtId="7" fontId="45" fillId="0" borderId="0" xfId="47" applyNumberFormat="1" applyFont="1" applyBorder="1" applyAlignment="1" applyProtection="1">
      <alignment/>
      <protection/>
    </xf>
    <xf numFmtId="0" fontId="0" fillId="0" borderId="0" xfId="69" applyProtection="1">
      <alignment/>
      <protection/>
    </xf>
    <xf numFmtId="0" fontId="0" fillId="47" borderId="0" xfId="0" applyFill="1" applyAlignment="1" applyProtection="1">
      <alignment/>
      <protection/>
    </xf>
    <xf numFmtId="0" fontId="49" fillId="47" borderId="0" xfId="0" applyFont="1" applyFill="1" applyAlignment="1" applyProtection="1">
      <alignment/>
      <protection/>
    </xf>
    <xf numFmtId="177" fontId="2" fillId="47" borderId="0" xfId="0" applyNumberFormat="1" applyFont="1" applyFill="1" applyAlignment="1" applyProtection="1">
      <alignment/>
      <protection/>
    </xf>
    <xf numFmtId="0" fontId="34" fillId="47" borderId="0" xfId="0" applyFont="1" applyFill="1" applyBorder="1" applyAlignment="1" applyProtection="1">
      <alignment/>
      <protection/>
    </xf>
    <xf numFmtId="0" fontId="10" fillId="47" borderId="0" xfId="61" applyFont="1" applyFill="1" applyBorder="1" applyProtection="1">
      <alignment/>
      <protection/>
    </xf>
    <xf numFmtId="0" fontId="7" fillId="47" borderId="40" xfId="0" applyFont="1" applyFill="1" applyBorder="1" applyAlignment="1" applyProtection="1">
      <alignment/>
      <protection/>
    </xf>
    <xf numFmtId="0" fontId="7" fillId="47" borderId="0" xfId="0" applyFont="1" applyFill="1" applyBorder="1" applyAlignment="1" applyProtection="1">
      <alignment/>
      <protection/>
    </xf>
    <xf numFmtId="0" fontId="0" fillId="41" borderId="51" xfId="61" applyFont="1" applyFill="1" applyBorder="1" applyProtection="1">
      <alignment/>
      <protection/>
    </xf>
    <xf numFmtId="0" fontId="0" fillId="41" borderId="11" xfId="61" applyFont="1" applyFill="1" applyBorder="1" applyProtection="1">
      <alignment/>
      <protection/>
    </xf>
    <xf numFmtId="0" fontId="0" fillId="41" borderId="20" xfId="61" applyFont="1" applyFill="1" applyBorder="1" applyProtection="1">
      <alignment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40" xfId="0" applyBorder="1" applyAlignment="1" applyProtection="1">
      <alignment/>
      <protection/>
    </xf>
    <xf numFmtId="0" fontId="6" fillId="0" borderId="13" xfId="0" applyFont="1" applyBorder="1" applyAlignment="1" applyProtection="1">
      <alignment horizontal="center"/>
      <protection/>
    </xf>
    <xf numFmtId="0" fontId="3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center"/>
      <protection/>
    </xf>
    <xf numFmtId="171" fontId="0" fillId="41" borderId="16" xfId="0" applyNumberFormat="1" applyFill="1" applyBorder="1" applyAlignment="1" applyProtection="1">
      <alignment horizontal="left"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/>
      <protection/>
    </xf>
    <xf numFmtId="0" fontId="29" fillId="0" borderId="0" xfId="56" applyAlignment="1" applyProtection="1">
      <alignment horizontal="left"/>
      <protection/>
    </xf>
    <xf numFmtId="0" fontId="12" fillId="0" borderId="35" xfId="0" applyFont="1" applyBorder="1" applyAlignment="1" applyProtection="1">
      <alignment horizontal="center"/>
      <protection/>
    </xf>
    <xf numFmtId="0" fontId="13" fillId="0" borderId="28" xfId="0" applyFont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 horizontal="center"/>
      <protection/>
    </xf>
    <xf numFmtId="0" fontId="0" fillId="42" borderId="51" xfId="0" applyFont="1" applyFill="1" applyBorder="1" applyAlignment="1" applyProtection="1">
      <alignment horizontal="left"/>
      <protection/>
    </xf>
    <xf numFmtId="0" fontId="0" fillId="42" borderId="11" xfId="0" applyFont="1" applyFill="1" applyBorder="1" applyAlignment="1" applyProtection="1">
      <alignment horizontal="left"/>
      <protection/>
    </xf>
    <xf numFmtId="0" fontId="0" fillId="42" borderId="20" xfId="0" applyFont="1" applyFill="1" applyBorder="1" applyAlignment="1" applyProtection="1">
      <alignment horizontal="left"/>
      <protection/>
    </xf>
    <xf numFmtId="0" fontId="31" fillId="47" borderId="59" xfId="61" applyFont="1" applyFill="1" applyBorder="1" applyAlignment="1">
      <alignment horizontal="center" vertical="center" wrapText="1"/>
      <protection/>
    </xf>
    <xf numFmtId="0" fontId="31" fillId="47" borderId="60" xfId="61" applyFont="1" applyFill="1" applyBorder="1" applyAlignment="1">
      <alignment horizontal="center" vertical="center" wrapText="1"/>
      <protection/>
    </xf>
    <xf numFmtId="0" fontId="31" fillId="47" borderId="61" xfId="61" applyFont="1" applyFill="1" applyBorder="1" applyAlignment="1">
      <alignment horizontal="center" vertical="center" wrapText="1"/>
      <protection/>
    </xf>
    <xf numFmtId="0" fontId="31" fillId="47" borderId="62" xfId="61" applyFont="1" applyFill="1" applyBorder="1" applyAlignment="1">
      <alignment horizontal="center" vertical="center" wrapText="1"/>
      <protection/>
    </xf>
    <xf numFmtId="0" fontId="31" fillId="47" borderId="0" xfId="61" applyFont="1" applyFill="1" applyBorder="1" applyAlignment="1">
      <alignment horizontal="center" vertical="center" wrapText="1"/>
      <protection/>
    </xf>
    <xf numFmtId="0" fontId="31" fillId="47" borderId="63" xfId="61" applyFont="1" applyFill="1" applyBorder="1" applyAlignment="1">
      <alignment horizontal="center" vertical="center" wrapText="1"/>
      <protection/>
    </xf>
    <xf numFmtId="0" fontId="31" fillId="47" borderId="64" xfId="61" applyFont="1" applyFill="1" applyBorder="1" applyAlignment="1">
      <alignment horizontal="center" vertical="center" wrapText="1"/>
      <protection/>
    </xf>
    <xf numFmtId="0" fontId="31" fillId="47" borderId="65" xfId="61" applyFont="1" applyFill="1" applyBorder="1" applyAlignment="1">
      <alignment horizontal="center" vertical="center" wrapText="1"/>
      <protection/>
    </xf>
    <xf numFmtId="0" fontId="31" fillId="47" borderId="66" xfId="61" applyFont="1" applyFill="1" applyBorder="1" applyAlignment="1">
      <alignment horizontal="center" vertical="center" wrapText="1"/>
      <protection/>
    </xf>
    <xf numFmtId="0" fontId="6" fillId="0" borderId="45" xfId="61" applyFont="1" applyBorder="1" applyAlignment="1" applyProtection="1">
      <alignment horizontal="left" wrapText="1"/>
      <protection/>
    </xf>
    <xf numFmtId="0" fontId="29" fillId="0" borderId="0" xfId="56" applyAlignment="1" applyProtection="1">
      <alignment horizontal="center"/>
      <protection/>
    </xf>
    <xf numFmtId="176" fontId="16" fillId="0" borderId="0" xfId="0" applyNumberFormat="1" applyFont="1" applyAlignment="1" applyProtection="1">
      <alignment horizontal="right"/>
      <protection/>
    </xf>
    <xf numFmtId="0" fontId="2" fillId="38" borderId="0" xfId="0" applyFont="1" applyFill="1" applyBorder="1" applyAlignment="1" applyProtection="1">
      <alignment horizontal="center" wrapText="1"/>
      <protection/>
    </xf>
    <xf numFmtId="0" fontId="2" fillId="38" borderId="10" xfId="0" applyFont="1" applyFill="1" applyBorder="1" applyAlignment="1" applyProtection="1">
      <alignment horizontal="center" wrapText="1"/>
      <protection/>
    </xf>
    <xf numFmtId="0" fontId="20" fillId="35" borderId="0" xfId="0" applyFont="1" applyFill="1" applyAlignment="1" applyProtection="1">
      <alignment horizontal="center" wrapText="1"/>
      <protection/>
    </xf>
    <xf numFmtId="0" fontId="20" fillId="35" borderId="10" xfId="0" applyFont="1" applyFill="1" applyBorder="1" applyAlignment="1" applyProtection="1">
      <alignment horizontal="center" wrapText="1"/>
      <protection/>
    </xf>
    <xf numFmtId="0" fontId="2" fillId="0" borderId="40" xfId="0" applyFont="1" applyBorder="1" applyAlignment="1" applyProtection="1">
      <alignment horizontal="center"/>
      <protection/>
    </xf>
    <xf numFmtId="0" fontId="21" fillId="35" borderId="0" xfId="0" applyFont="1" applyFill="1" applyBorder="1" applyAlignment="1" applyProtection="1">
      <alignment horizontal="center" wrapText="1"/>
      <protection/>
    </xf>
    <xf numFmtId="0" fontId="21" fillId="35" borderId="10" xfId="0" applyFont="1" applyFill="1" applyBorder="1" applyAlignment="1" applyProtection="1">
      <alignment horizontal="center" wrapText="1"/>
      <protection/>
    </xf>
    <xf numFmtId="0" fontId="2" fillId="39" borderId="40" xfId="0" applyFont="1" applyFill="1" applyBorder="1" applyAlignment="1" applyProtection="1">
      <alignment horizontal="center" wrapText="1"/>
      <protection/>
    </xf>
    <xf numFmtId="0" fontId="2" fillId="39" borderId="10" xfId="0" applyFont="1" applyFill="1" applyBorder="1" applyAlignment="1" applyProtection="1">
      <alignment horizontal="center" wrapText="1"/>
      <protection/>
    </xf>
    <xf numFmtId="0" fontId="42" fillId="0" borderId="44" xfId="0" applyFont="1" applyBorder="1" applyAlignment="1" applyProtection="1">
      <alignment horizontal="center" vertical="center"/>
      <protection locked="0"/>
    </xf>
    <xf numFmtId="0" fontId="42" fillId="0" borderId="16" xfId="0" applyFont="1" applyBorder="1" applyAlignment="1" applyProtection="1">
      <alignment horizontal="center" vertical="center"/>
      <protection locked="0"/>
    </xf>
    <xf numFmtId="0" fontId="7" fillId="0" borderId="67" xfId="0" applyFont="1" applyBorder="1" applyAlignment="1" applyProtection="1">
      <alignment horizontal="center" textRotation="90"/>
      <protection/>
    </xf>
    <xf numFmtId="0" fontId="7" fillId="0" borderId="27" xfId="0" applyFont="1" applyBorder="1" applyAlignment="1" applyProtection="1">
      <alignment horizontal="center" textRotation="90"/>
      <protection/>
    </xf>
    <xf numFmtId="0" fontId="7" fillId="0" borderId="67" xfId="0" applyFont="1" applyBorder="1" applyAlignment="1" applyProtection="1">
      <alignment horizontal="center" textRotation="90" readingOrder="1"/>
      <protection/>
    </xf>
    <xf numFmtId="0" fontId="7" fillId="0" borderId="27" xfId="0" applyFont="1" applyBorder="1" applyAlignment="1" applyProtection="1">
      <alignment horizontal="center" textRotation="90" readingOrder="1"/>
      <protection/>
    </xf>
    <xf numFmtId="0" fontId="0" fillId="42" borderId="51" xfId="0" applyFill="1" applyBorder="1" applyAlignment="1" applyProtection="1">
      <alignment horizontal="center"/>
      <protection locked="0"/>
    </xf>
    <xf numFmtId="0" fontId="0" fillId="42" borderId="20" xfId="0" applyFill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center" wrapText="1"/>
      <protection locked="0"/>
    </xf>
    <xf numFmtId="0" fontId="7" fillId="0" borderId="68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0" fontId="7" fillId="0" borderId="69" xfId="0" applyFont="1" applyBorder="1" applyAlignment="1" applyProtection="1">
      <alignment horizontal="center" wrapText="1"/>
      <protection locked="0"/>
    </xf>
    <xf numFmtId="0" fontId="0" fillId="0" borderId="44" xfId="0" applyFill="1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 applyProtection="1">
      <alignment horizontal="left" vertical="center" wrapText="1"/>
      <protection locked="0"/>
    </xf>
    <xf numFmtId="49" fontId="0" fillId="42" borderId="11" xfId="0" applyNumberFormat="1" applyFill="1" applyBorder="1" applyAlignment="1" applyProtection="1">
      <alignment horizontal="left"/>
      <protection locked="0"/>
    </xf>
    <xf numFmtId="49" fontId="0" fillId="42" borderId="70" xfId="0" applyNumberFormat="1" applyFill="1" applyBorder="1" applyAlignment="1" applyProtection="1">
      <alignment horizontal="left"/>
      <protection locked="0"/>
    </xf>
    <xf numFmtId="49" fontId="0" fillId="42" borderId="10" xfId="0" applyNumberFormat="1" applyFont="1" applyFill="1" applyBorder="1" applyAlignment="1" applyProtection="1">
      <alignment horizontal="left"/>
      <protection locked="0"/>
    </xf>
    <xf numFmtId="49" fontId="0" fillId="42" borderId="10" xfId="0" applyNumberFormat="1" applyFill="1" applyBorder="1" applyAlignment="1" applyProtection="1">
      <alignment horizontal="left"/>
      <protection locked="0"/>
    </xf>
    <xf numFmtId="49" fontId="0" fillId="42" borderId="30" xfId="0" applyNumberFormat="1" applyFill="1" applyBorder="1" applyAlignment="1" applyProtection="1">
      <alignment horizontal="left"/>
      <protection locked="0"/>
    </xf>
    <xf numFmtId="49" fontId="0" fillId="42" borderId="11" xfId="0" applyNumberFormat="1" applyFont="1" applyFill="1" applyBorder="1" applyAlignment="1" applyProtection="1">
      <alignment horizontal="left"/>
      <protection locked="0"/>
    </xf>
    <xf numFmtId="178" fontId="0" fillId="42" borderId="71" xfId="0" applyNumberFormat="1" applyFont="1" applyFill="1" applyBorder="1" applyAlignment="1" applyProtection="1">
      <alignment horizontal="center" vertical="center" wrapText="1"/>
      <protection/>
    </xf>
    <xf numFmtId="0" fontId="0" fillId="42" borderId="72" xfId="0" applyFill="1" applyBorder="1" applyAlignment="1" applyProtection="1">
      <alignment horizontal="center" vertical="center"/>
      <protection/>
    </xf>
    <xf numFmtId="0" fontId="0" fillId="42" borderId="13" xfId="0" applyFill="1" applyBorder="1" applyAlignment="1" applyProtection="1">
      <alignment horizontal="center" vertical="center"/>
      <protection/>
    </xf>
    <xf numFmtId="0" fontId="0" fillId="42" borderId="37" xfId="0" applyFill="1" applyBorder="1" applyAlignment="1" applyProtection="1">
      <alignment horizontal="center" vertical="center"/>
      <protection/>
    </xf>
    <xf numFmtId="14" fontId="0" fillId="42" borderId="38" xfId="0" applyNumberFormat="1" applyFill="1" applyBorder="1" applyAlignment="1" applyProtection="1">
      <alignment horizontal="center"/>
      <protection locked="0"/>
    </xf>
    <xf numFmtId="14" fontId="0" fillId="42" borderId="36" xfId="0" applyNumberFormat="1" applyFill="1" applyBorder="1" applyAlignment="1" applyProtection="1">
      <alignment horizontal="center"/>
      <protection locked="0"/>
    </xf>
    <xf numFmtId="178" fontId="6" fillId="0" borderId="40" xfId="0" applyNumberFormat="1" applyFont="1" applyBorder="1" applyAlignment="1" applyProtection="1">
      <alignment horizontal="center"/>
      <protection/>
    </xf>
    <xf numFmtId="174" fontId="13" fillId="0" borderId="41" xfId="0" applyNumberFormat="1" applyFont="1" applyFill="1" applyBorder="1" applyAlignment="1" applyProtection="1">
      <alignment horizontal="left" vertical="center"/>
      <protection/>
    </xf>
    <xf numFmtId="174" fontId="13" fillId="0" borderId="47" xfId="0" applyNumberFormat="1" applyFont="1" applyFill="1" applyBorder="1" applyAlignment="1" applyProtection="1">
      <alignment horizontal="left" vertical="center"/>
      <protection/>
    </xf>
    <xf numFmtId="0" fontId="13" fillId="0" borderId="41" xfId="0" applyFont="1" applyFill="1" applyBorder="1" applyAlignment="1" applyProtection="1">
      <alignment horizontal="right" vertical="center"/>
      <protection/>
    </xf>
    <xf numFmtId="0" fontId="13" fillId="0" borderId="47" xfId="0" applyFont="1" applyFill="1" applyBorder="1" applyAlignment="1" applyProtection="1">
      <alignment horizontal="right" vertical="center"/>
      <protection/>
    </xf>
    <xf numFmtId="0" fontId="0" fillId="0" borderId="51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35" fillId="0" borderId="40" xfId="0" applyFont="1" applyBorder="1" applyAlignment="1" applyProtection="1">
      <alignment horizontal="right"/>
      <protection/>
    </xf>
    <xf numFmtId="0" fontId="35" fillId="0" borderId="0" xfId="0" applyFont="1" applyBorder="1" applyAlignment="1" applyProtection="1">
      <alignment horizontal="right"/>
      <protection/>
    </xf>
    <xf numFmtId="0" fontId="35" fillId="0" borderId="40" xfId="0" applyFont="1" applyBorder="1" applyAlignment="1" applyProtection="1">
      <alignment horizontal="left"/>
      <protection/>
    </xf>
    <xf numFmtId="0" fontId="35" fillId="0" borderId="0" xfId="0" applyFont="1" applyBorder="1" applyAlignment="1" applyProtection="1">
      <alignment horizontal="left"/>
      <protection/>
    </xf>
    <xf numFmtId="0" fontId="13" fillId="0" borderId="42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73" xfId="0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horizontal="right" vertical="center"/>
      <protection/>
    </xf>
    <xf numFmtId="174" fontId="13" fillId="0" borderId="0" xfId="0" applyNumberFormat="1" applyFont="1" applyBorder="1" applyAlignment="1" applyProtection="1">
      <alignment horizontal="left" vertical="center"/>
      <protection/>
    </xf>
    <xf numFmtId="174" fontId="13" fillId="0" borderId="10" xfId="0" applyNumberFormat="1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1" fontId="4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5" xfId="61" applyFont="1" applyBorder="1" applyAlignment="1" applyProtection="1">
      <alignment horizontal="center"/>
      <protection/>
    </xf>
    <xf numFmtId="0" fontId="0" fillId="0" borderId="48" xfId="61" applyFont="1" applyBorder="1" applyAlignment="1" applyProtection="1">
      <alignment horizontal="center" vertical="center" wrapText="1"/>
      <protection/>
    </xf>
    <xf numFmtId="0" fontId="0" fillId="0" borderId="74" xfId="61" applyFont="1" applyBorder="1" applyAlignment="1" applyProtection="1">
      <alignment horizontal="center" vertical="center" wrapText="1"/>
      <protection/>
    </xf>
    <xf numFmtId="0" fontId="0" fillId="0" borderId="49" xfId="61" applyFont="1" applyBorder="1" applyAlignment="1" applyProtection="1">
      <alignment horizontal="center" vertical="center" wrapText="1"/>
      <protection/>
    </xf>
    <xf numFmtId="0" fontId="0" fillId="0" borderId="75" xfId="61" applyFont="1" applyBorder="1" applyAlignment="1" applyProtection="1">
      <alignment horizontal="center" vertical="center" wrapText="1"/>
      <protection/>
    </xf>
    <xf numFmtId="176" fontId="13" fillId="0" borderId="0" xfId="0" applyNumberFormat="1" applyFont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 horizontal="center" vertical="center" textRotation="90"/>
      <protection/>
    </xf>
    <xf numFmtId="0" fontId="0" fillId="0" borderId="14" xfId="0" applyBorder="1" applyAlignment="1" applyProtection="1">
      <alignment horizontal="center" vertical="center" textRotation="90"/>
      <protection/>
    </xf>
    <xf numFmtId="0" fontId="0" fillId="0" borderId="68" xfId="0" applyBorder="1" applyAlignment="1" applyProtection="1">
      <alignment horizontal="center" vertical="center" textRotation="90"/>
      <protection/>
    </xf>
    <xf numFmtId="0" fontId="6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10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right" wrapText="1"/>
      <protection/>
    </xf>
    <xf numFmtId="0" fontId="4" fillId="0" borderId="0" xfId="0" applyFont="1" applyBorder="1" applyAlignment="1" applyProtection="1">
      <alignment horizontal="right" wrapText="1"/>
      <protection/>
    </xf>
    <xf numFmtId="0" fontId="7" fillId="42" borderId="13" xfId="0" applyFont="1" applyFill="1" applyBorder="1" applyAlignment="1" applyProtection="1">
      <alignment horizontal="center" vertical="center" wrapText="1"/>
      <protection/>
    </xf>
    <xf numFmtId="0" fontId="7" fillId="42" borderId="38" xfId="0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textRotation="90"/>
      <protection locked="0"/>
    </xf>
    <xf numFmtId="0" fontId="0" fillId="0" borderId="14" xfId="0" applyBorder="1" applyAlignment="1" applyProtection="1">
      <alignment horizontal="center" vertical="center" textRotation="90"/>
      <protection locked="0"/>
    </xf>
    <xf numFmtId="0" fontId="0" fillId="0" borderId="68" xfId="0" applyBorder="1" applyAlignment="1" applyProtection="1">
      <alignment horizontal="center" vertical="center" textRotation="90"/>
      <protection locked="0"/>
    </xf>
    <xf numFmtId="0" fontId="0" fillId="0" borderId="44" xfId="0" applyBorder="1" applyAlignment="1" applyProtection="1">
      <alignment horizontal="center" vertical="center" textRotation="90" wrapText="1"/>
      <protection/>
    </xf>
    <xf numFmtId="0" fontId="0" fillId="0" borderId="14" xfId="0" applyBorder="1" applyAlignment="1" applyProtection="1">
      <alignment horizontal="center" vertical="center" textRotation="90" wrapText="1"/>
      <protection/>
    </xf>
    <xf numFmtId="0" fontId="0" fillId="0" borderId="68" xfId="0" applyBorder="1" applyAlignment="1" applyProtection="1">
      <alignment horizontal="center" vertical="center" textRotation="90" wrapText="1"/>
      <protection/>
    </xf>
    <xf numFmtId="0" fontId="0" fillId="0" borderId="13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174" fontId="4" fillId="0" borderId="0" xfId="0" applyNumberFormat="1" applyFont="1" applyBorder="1" applyAlignment="1" applyProtection="1">
      <alignment horizontal="left"/>
      <protection/>
    </xf>
    <xf numFmtId="0" fontId="0" fillId="0" borderId="44" xfId="0" applyBorder="1" applyAlignment="1" applyProtection="1">
      <alignment horizontal="center" vertical="center" textRotation="90" wrapText="1"/>
      <protection locked="0"/>
    </xf>
    <xf numFmtId="0" fontId="0" fillId="0" borderId="14" xfId="0" applyBorder="1" applyAlignment="1" applyProtection="1">
      <alignment horizontal="center" vertical="center" textRotation="90" wrapText="1"/>
      <protection locked="0"/>
    </xf>
    <xf numFmtId="0" fontId="0" fillId="0" borderId="68" xfId="0" applyBorder="1" applyAlignment="1" applyProtection="1">
      <alignment horizontal="center" vertical="center" textRotation="90" wrapText="1"/>
      <protection locked="0"/>
    </xf>
    <xf numFmtId="0" fontId="7" fillId="42" borderId="14" xfId="0" applyFont="1" applyFill="1" applyBorder="1" applyAlignment="1" applyProtection="1">
      <alignment horizontal="center" vertical="center" textRotation="90" wrapText="1"/>
      <protection/>
    </xf>
    <xf numFmtId="0" fontId="7" fillId="42" borderId="16" xfId="0" applyFont="1" applyFill="1" applyBorder="1" applyAlignment="1" applyProtection="1">
      <alignment horizontal="center" vertical="center" textRotation="90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42" borderId="11" xfId="0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right"/>
      <protection/>
    </xf>
    <xf numFmtId="165" fontId="0" fillId="41" borderId="15" xfId="0" applyNumberFormat="1" applyFill="1" applyBorder="1" applyAlignment="1" applyProtection="1">
      <alignment horizont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42" borderId="10" xfId="0" applyFill="1" applyBorder="1" applyAlignment="1" applyProtection="1">
      <alignment horizontal="center"/>
      <protection locked="0"/>
    </xf>
    <xf numFmtId="0" fontId="7" fillId="42" borderId="15" xfId="0" applyFont="1" applyFill="1" applyBorder="1" applyAlignment="1" applyProtection="1">
      <alignment horizontal="center"/>
      <protection locked="0"/>
    </xf>
    <xf numFmtId="8" fontId="57" fillId="41" borderId="48" xfId="0" applyNumberFormat="1" applyFont="1" applyFill="1" applyBorder="1" applyAlignment="1" applyProtection="1">
      <alignment horizontal="center" vertical="center"/>
      <protection/>
    </xf>
    <xf numFmtId="8" fontId="57" fillId="41" borderId="49" xfId="0" applyNumberFormat="1" applyFont="1" applyFill="1" applyBorder="1" applyAlignment="1" applyProtection="1">
      <alignment horizontal="center" vertical="center"/>
      <protection/>
    </xf>
    <xf numFmtId="8" fontId="57" fillId="41" borderId="33" xfId="0" applyNumberFormat="1" applyFont="1" applyFill="1" applyBorder="1" applyAlignment="1" applyProtection="1">
      <alignment horizontal="center" vertical="center"/>
      <protection/>
    </xf>
    <xf numFmtId="8" fontId="57" fillId="41" borderId="50" xfId="0" applyNumberFormat="1" applyFont="1" applyFill="1" applyBorder="1" applyAlignment="1" applyProtection="1">
      <alignment horizontal="center" vertical="center"/>
      <protection/>
    </xf>
    <xf numFmtId="0" fontId="0" fillId="0" borderId="76" xfId="0" applyFill="1" applyBorder="1" applyAlignment="1" applyProtection="1" quotePrefix="1">
      <alignment horizontal="right" vertical="center" wrapText="1"/>
      <protection/>
    </xf>
    <xf numFmtId="0" fontId="9" fillId="0" borderId="0" xfId="0" applyFont="1" applyAlignment="1" applyProtection="1">
      <alignment horizontal="left" wrapText="1"/>
      <protection/>
    </xf>
    <xf numFmtId="1" fontId="6" fillId="41" borderId="77" xfId="0" applyNumberFormat="1" applyFont="1" applyFill="1" applyBorder="1" applyAlignment="1" applyProtection="1">
      <alignment horizontal="center" vertical="center" wrapText="1"/>
      <protection/>
    </xf>
    <xf numFmtId="0" fontId="6" fillId="41" borderId="24" xfId="0" applyFont="1" applyFill="1" applyBorder="1" applyAlignment="1" applyProtection="1" quotePrefix="1">
      <alignment horizontal="center" vertical="center" wrapText="1"/>
      <protection/>
    </xf>
    <xf numFmtId="165" fontId="50" fillId="41" borderId="33" xfId="0" applyNumberFormat="1" applyFont="1" applyFill="1" applyBorder="1" applyAlignment="1" applyProtection="1">
      <alignment horizontal="center"/>
      <protection/>
    </xf>
    <xf numFmtId="165" fontId="50" fillId="41" borderId="50" xfId="0" applyNumberFormat="1" applyFont="1" applyFill="1" applyBorder="1" applyAlignment="1" applyProtection="1">
      <alignment horizontal="center"/>
      <protection/>
    </xf>
    <xf numFmtId="1" fontId="0" fillId="41" borderId="19" xfId="0" applyNumberFormat="1" applyFill="1" applyBorder="1" applyAlignment="1" applyProtection="1">
      <alignment horizontal="center" vertical="center"/>
      <protection/>
    </xf>
    <xf numFmtId="1" fontId="0" fillId="41" borderId="12" xfId="0" applyNumberFormat="1" applyFill="1" applyBorder="1" applyAlignment="1" applyProtection="1">
      <alignment horizontal="center" vertical="center"/>
      <protection/>
    </xf>
    <xf numFmtId="1" fontId="0" fillId="41" borderId="38" xfId="0" applyNumberFormat="1" applyFill="1" applyBorder="1" applyAlignment="1" applyProtection="1">
      <alignment horizontal="center" vertical="center"/>
      <protection/>
    </xf>
    <xf numFmtId="1" fontId="0" fillId="41" borderId="36" xfId="0" applyNumberFormat="1" applyFill="1" applyBorder="1" applyAlignment="1" applyProtection="1">
      <alignment horizontal="center" vertical="center"/>
      <protection/>
    </xf>
    <xf numFmtId="174" fontId="0" fillId="0" borderId="76" xfId="0" applyNumberFormat="1" applyFill="1" applyBorder="1" applyAlignment="1" applyProtection="1" quotePrefix="1">
      <alignment horizontal="left" vertical="center" wrapText="1"/>
      <protection/>
    </xf>
    <xf numFmtId="174" fontId="0" fillId="0" borderId="24" xfId="0" applyNumberFormat="1" applyFill="1" applyBorder="1" applyAlignment="1" applyProtection="1" quotePrefix="1">
      <alignment horizontal="left" vertical="center" wrapText="1"/>
      <protection/>
    </xf>
    <xf numFmtId="164" fontId="0" fillId="42" borderId="51" xfId="0" applyNumberFormat="1" applyFont="1" applyFill="1" applyBorder="1" applyAlignment="1" applyProtection="1">
      <alignment horizontal="center"/>
      <protection locked="0"/>
    </xf>
    <xf numFmtId="164" fontId="0" fillId="42" borderId="20" xfId="0" applyNumberFormat="1" applyFont="1" applyFill="1" applyBorder="1" applyAlignment="1" applyProtection="1">
      <alignment horizontal="center"/>
      <protection locked="0"/>
    </xf>
    <xf numFmtId="166" fontId="13" fillId="41" borderId="19" xfId="0" applyNumberFormat="1" applyFont="1" applyFill="1" applyBorder="1" applyAlignment="1" applyProtection="1">
      <alignment horizontal="center" vertical="center"/>
      <protection/>
    </xf>
    <xf numFmtId="166" fontId="13" fillId="41" borderId="12" xfId="0" applyNumberFormat="1" applyFont="1" applyFill="1" applyBorder="1" applyAlignment="1" applyProtection="1">
      <alignment horizontal="center" vertical="center"/>
      <protection/>
    </xf>
    <xf numFmtId="166" fontId="13" fillId="41" borderId="38" xfId="0" applyNumberFormat="1" applyFont="1" applyFill="1" applyBorder="1" applyAlignment="1" applyProtection="1">
      <alignment horizontal="center" vertical="center"/>
      <protection/>
    </xf>
    <xf numFmtId="166" fontId="13" fillId="41" borderId="36" xfId="0" applyNumberFormat="1" applyFont="1" applyFill="1" applyBorder="1" applyAlignment="1" applyProtection="1">
      <alignment horizontal="center" vertical="center"/>
      <protection/>
    </xf>
    <xf numFmtId="0" fontId="0" fillId="41" borderId="40" xfId="0" applyFill="1" applyBorder="1" applyAlignment="1" applyProtection="1">
      <alignment horizontal="center"/>
      <protection/>
    </xf>
    <xf numFmtId="0" fontId="0" fillId="41" borderId="12" xfId="0" applyFill="1" applyBorder="1" applyAlignment="1" applyProtection="1">
      <alignment horizontal="center"/>
      <protection/>
    </xf>
    <xf numFmtId="0" fontId="5" fillId="40" borderId="0" xfId="0" applyFont="1" applyFill="1" applyAlignment="1" applyProtection="1">
      <alignment horizontal="left"/>
      <protection/>
    </xf>
    <xf numFmtId="0" fontId="5" fillId="40" borderId="0" xfId="0" applyFont="1" applyFill="1" applyBorder="1" applyAlignment="1" applyProtection="1">
      <alignment horizontal="left"/>
      <protection/>
    </xf>
    <xf numFmtId="0" fontId="0" fillId="0" borderId="19" xfId="0" applyBorder="1" applyAlignment="1" applyProtection="1">
      <alignment horizontal="right"/>
      <protection/>
    </xf>
    <xf numFmtId="0" fontId="0" fillId="0" borderId="40" xfId="0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42" borderId="10" xfId="0" applyFont="1" applyFill="1" applyBorder="1" applyAlignment="1" applyProtection="1">
      <alignment horizontal="center"/>
      <protection locked="0"/>
    </xf>
    <xf numFmtId="0" fontId="0" fillId="42" borderId="11" xfId="0" applyFont="1" applyFill="1" applyBorder="1" applyAlignment="1" applyProtection="1">
      <alignment horizontal="center"/>
      <protection locked="0"/>
    </xf>
    <xf numFmtId="0" fontId="7" fillId="42" borderId="15" xfId="0" applyFont="1" applyFill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/>
    </xf>
    <xf numFmtId="0" fontId="55" fillId="47" borderId="19" xfId="0" applyFont="1" applyFill="1" applyBorder="1" applyAlignment="1" applyProtection="1">
      <alignment horizontal="center" vertical="center" wrapText="1" shrinkToFit="1"/>
      <protection/>
    </xf>
    <xf numFmtId="0" fontId="55" fillId="47" borderId="40" xfId="0" applyFont="1" applyFill="1" applyBorder="1" applyAlignment="1" applyProtection="1">
      <alignment horizontal="center" vertical="center" wrapText="1" shrinkToFit="1"/>
      <protection/>
    </xf>
    <xf numFmtId="0" fontId="55" fillId="47" borderId="12" xfId="0" applyFont="1" applyFill="1" applyBorder="1" applyAlignment="1" applyProtection="1">
      <alignment horizontal="center" vertical="center" wrapText="1" shrinkToFit="1"/>
      <protection/>
    </xf>
    <xf numFmtId="0" fontId="55" fillId="47" borderId="13" xfId="0" applyFont="1" applyFill="1" applyBorder="1" applyAlignment="1" applyProtection="1">
      <alignment horizontal="center" vertical="center" wrapText="1" shrinkToFit="1"/>
      <protection/>
    </xf>
    <xf numFmtId="0" fontId="55" fillId="47" borderId="0" xfId="0" applyFont="1" applyFill="1" applyBorder="1" applyAlignment="1" applyProtection="1">
      <alignment horizontal="center" vertical="center" wrapText="1" shrinkToFit="1"/>
      <protection/>
    </xf>
    <xf numFmtId="0" fontId="55" fillId="47" borderId="37" xfId="0" applyFont="1" applyFill="1" applyBorder="1" applyAlignment="1" applyProtection="1">
      <alignment horizontal="center" vertical="center" wrapText="1" shrinkToFit="1"/>
      <protection/>
    </xf>
    <xf numFmtId="0" fontId="55" fillId="47" borderId="38" xfId="0" applyFont="1" applyFill="1" applyBorder="1" applyAlignment="1" applyProtection="1">
      <alignment horizontal="center" vertical="center" wrapText="1" shrinkToFit="1"/>
      <protection/>
    </xf>
    <xf numFmtId="0" fontId="55" fillId="47" borderId="10" xfId="0" applyFont="1" applyFill="1" applyBorder="1" applyAlignment="1" applyProtection="1">
      <alignment horizontal="center" vertical="center" wrapText="1" shrinkToFit="1"/>
      <protection/>
    </xf>
    <xf numFmtId="0" fontId="55" fillId="47" borderId="36" xfId="0" applyFont="1" applyFill="1" applyBorder="1" applyAlignment="1" applyProtection="1">
      <alignment horizontal="center" vertical="center" wrapText="1" shrinkToFit="1"/>
      <protection/>
    </xf>
    <xf numFmtId="0" fontId="0" fillId="0" borderId="11" xfId="0" applyBorder="1" applyAlignment="1" applyProtection="1">
      <alignment horizontal="center"/>
      <protection/>
    </xf>
    <xf numFmtId="174" fontId="6" fillId="0" borderId="10" xfId="0" applyNumberFormat="1" applyFont="1" applyBorder="1" applyAlignment="1" applyProtection="1">
      <alignment horizontal="left"/>
      <protection/>
    </xf>
    <xf numFmtId="0" fontId="33" fillId="41" borderId="73" xfId="61" applyFont="1" applyFill="1" applyBorder="1" applyAlignment="1" applyProtection="1">
      <alignment horizontal="left"/>
      <protection/>
    </xf>
    <xf numFmtId="0" fontId="33" fillId="41" borderId="10" xfId="61" applyFont="1" applyFill="1" applyBorder="1" applyAlignment="1" applyProtection="1">
      <alignment horizontal="left"/>
      <protection/>
    </xf>
    <xf numFmtId="0" fontId="33" fillId="41" borderId="41" xfId="61" applyFont="1" applyFill="1" applyBorder="1" applyAlignment="1" applyProtection="1">
      <alignment horizontal="left"/>
      <protection/>
    </xf>
    <xf numFmtId="0" fontId="33" fillId="41" borderId="49" xfId="61" applyFont="1" applyFill="1" applyBorder="1" applyAlignment="1" applyProtection="1">
      <alignment horizontal="left"/>
      <protection/>
    </xf>
    <xf numFmtId="0" fontId="104" fillId="41" borderId="41" xfId="6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>
      <alignment horizontal="left"/>
      <protection/>
    </xf>
    <xf numFmtId="49" fontId="0" fillId="42" borderId="10" xfId="0" applyNumberFormat="1" applyFont="1" applyFill="1" applyBorder="1" applyAlignment="1" applyProtection="1">
      <alignment horizontal="left"/>
      <protection/>
    </xf>
    <xf numFmtId="49" fontId="0" fillId="42" borderId="10" xfId="0" applyNumberFormat="1" applyFill="1" applyBorder="1" applyAlignment="1" applyProtection="1">
      <alignment horizontal="left"/>
      <protection/>
    </xf>
    <xf numFmtId="49" fontId="0" fillId="42" borderId="30" xfId="0" applyNumberFormat="1" applyFill="1" applyBorder="1" applyAlignment="1" applyProtection="1">
      <alignment horizontal="left"/>
      <protection/>
    </xf>
    <xf numFmtId="49" fontId="0" fillId="42" borderId="11" xfId="0" applyNumberFormat="1" applyFont="1" applyFill="1" applyBorder="1" applyAlignment="1" applyProtection="1">
      <alignment horizontal="left"/>
      <protection/>
    </xf>
    <xf numFmtId="49" fontId="0" fillId="42" borderId="11" xfId="0" applyNumberFormat="1" applyFill="1" applyBorder="1" applyAlignment="1" applyProtection="1">
      <alignment horizontal="left"/>
      <protection/>
    </xf>
    <xf numFmtId="49" fontId="0" fillId="42" borderId="70" xfId="0" applyNumberFormat="1" applyFill="1" applyBorder="1" applyAlignment="1" applyProtection="1">
      <alignment horizontal="left"/>
      <protection/>
    </xf>
    <xf numFmtId="174" fontId="13" fillId="0" borderId="0" xfId="0" applyNumberFormat="1" applyFont="1" applyAlignment="1" applyProtection="1">
      <alignment horizontal="left" vertical="center"/>
      <protection/>
    </xf>
    <xf numFmtId="0" fontId="0" fillId="42" borderId="51" xfId="0" applyFill="1" applyBorder="1" applyAlignment="1" applyProtection="1">
      <alignment horizontal="center"/>
      <protection/>
    </xf>
    <xf numFmtId="0" fontId="0" fillId="42" borderId="20" xfId="0" applyFill="1" applyBorder="1" applyAlignment="1" applyProtection="1">
      <alignment horizontal="center"/>
      <protection/>
    </xf>
    <xf numFmtId="14" fontId="0" fillId="42" borderId="38" xfId="0" applyNumberFormat="1" applyFill="1" applyBorder="1" applyAlignment="1" applyProtection="1">
      <alignment horizontal="center"/>
      <protection/>
    </xf>
    <xf numFmtId="14" fontId="0" fillId="42" borderId="36" xfId="0" applyNumberFormat="1" applyFill="1" applyBorder="1" applyAlignment="1" applyProtection="1">
      <alignment horizontal="center"/>
      <protection/>
    </xf>
    <xf numFmtId="0" fontId="35" fillId="0" borderId="0" xfId="0" applyFont="1" applyAlignment="1" applyProtection="1">
      <alignment horizontal="right"/>
      <protection/>
    </xf>
    <xf numFmtId="178" fontId="6" fillId="0" borderId="0" xfId="0" applyNumberFormat="1" applyFont="1" applyBorder="1" applyAlignment="1" applyProtection="1">
      <alignment horizontal="center"/>
      <protection/>
    </xf>
    <xf numFmtId="0" fontId="7" fillId="42" borderId="14" xfId="0" applyFont="1" applyFill="1" applyBorder="1" applyAlignment="1" applyProtection="1">
      <alignment horizontal="center" vertical="center" textRotation="90" wrapText="1"/>
      <protection/>
    </xf>
    <xf numFmtId="0" fontId="7" fillId="42" borderId="16" xfId="0" applyFont="1" applyFill="1" applyBorder="1" applyAlignment="1" applyProtection="1">
      <alignment horizontal="center" vertical="center" textRotation="90" wrapText="1"/>
      <protection/>
    </xf>
    <xf numFmtId="0" fontId="4" fillId="47" borderId="13" xfId="0" applyFont="1" applyFill="1" applyBorder="1" applyAlignment="1" applyProtection="1">
      <alignment horizontal="right" wrapText="1"/>
      <protection/>
    </xf>
    <xf numFmtId="0" fontId="4" fillId="47" borderId="0" xfId="0" applyFont="1" applyFill="1" applyBorder="1" applyAlignment="1" applyProtection="1">
      <alignment horizontal="right" wrapText="1"/>
      <protection/>
    </xf>
    <xf numFmtId="0" fontId="0" fillId="0" borderId="35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46" fillId="0" borderId="0" xfId="63" applyFont="1" applyAlignment="1" applyProtection="1">
      <alignment horizontal="center"/>
      <protection/>
    </xf>
    <xf numFmtId="0" fontId="47" fillId="0" borderId="0" xfId="63" applyFont="1" applyAlignment="1" applyProtection="1">
      <alignment horizontal="left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 2" xfId="60"/>
    <cellStyle name="Normal 2 3" xfId="61"/>
    <cellStyle name="Normal 3" xfId="62"/>
    <cellStyle name="Normal 3 2" xfId="63"/>
    <cellStyle name="Normal 3 3" xfId="64"/>
    <cellStyle name="Normal 4" xfId="65"/>
    <cellStyle name="Normal 4 2" xfId="66"/>
    <cellStyle name="Normal 5" xfId="67"/>
    <cellStyle name="Normal 6" xfId="68"/>
    <cellStyle name="Normal 7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17">
    <dxf>
      <fill>
        <patternFill>
          <bgColor indexed="22"/>
        </patternFill>
      </fill>
    </dxf>
    <dxf>
      <font>
        <color theme="0" tint="-0.24993999302387238"/>
      </font>
    </dxf>
    <dxf>
      <font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color theme="0"/>
      </font>
    </dxf>
    <dxf>
      <font>
        <color theme="0" tint="-0.24993999302387238"/>
      </font>
    </dxf>
    <dxf>
      <font>
        <color auto="1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 tint="-0.24993999302387238"/>
      </font>
    </dxf>
    <dxf>
      <font>
        <color theme="0" tint="-0.24993999302387238"/>
      </font>
    </dxf>
    <dxf>
      <fill>
        <patternFill>
          <bgColor indexed="22"/>
        </patternFill>
      </fill>
    </dxf>
    <dxf>
      <font>
        <color theme="0" tint="-0.24993999302387238"/>
      </font>
    </dxf>
    <dxf>
      <font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>
          <bgColor indexed="52"/>
        </patternFill>
      </fill>
    </dxf>
    <dxf>
      <font>
        <b/>
        <i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Daily Mileage Log'!E5" /><Relationship Id="rId3" Type="http://schemas.openxmlformats.org/officeDocument/2006/relationships/hyperlink" Target="#'Daily Mileage Log'!E5" /><Relationship Id="rId4" Type="http://schemas.openxmlformats.org/officeDocument/2006/relationships/image" Target="../media/image2.png" /><Relationship Id="rId5" Type="http://schemas.openxmlformats.org/officeDocument/2006/relationships/hyperlink" Target="#'Vanpool Roster'!E8" /><Relationship Id="rId6" Type="http://schemas.openxmlformats.org/officeDocument/2006/relationships/hyperlink" Target="#'Vanpool Roster'!E8" /><Relationship Id="rId7" Type="http://schemas.openxmlformats.org/officeDocument/2006/relationships/image" Target="../media/image3.png" /><Relationship Id="rId8" Type="http://schemas.openxmlformats.org/officeDocument/2006/relationships/hyperlink" Target="#'Vanpool Roster'!E25" /><Relationship Id="rId9" Type="http://schemas.openxmlformats.org/officeDocument/2006/relationships/hyperlink" Target="#'Vanpool Roster'!E25" /><Relationship Id="rId10" Type="http://schemas.openxmlformats.org/officeDocument/2006/relationships/image" Target="../media/image4.png" /><Relationship Id="rId11" Type="http://schemas.openxmlformats.org/officeDocument/2006/relationships/hyperlink" Target="#'Vanpool Report'!J6" /><Relationship Id="rId12" Type="http://schemas.openxmlformats.org/officeDocument/2006/relationships/hyperlink" Target="#'Vanpool Report'!J6" /><Relationship Id="rId13" Type="http://schemas.openxmlformats.org/officeDocument/2006/relationships/image" Target="../media/image5.png" /><Relationship Id="rId14" Type="http://schemas.openxmlformats.org/officeDocument/2006/relationships/hyperlink" Target="#'Vanpool Report'!Q7" /><Relationship Id="rId15" Type="http://schemas.openxmlformats.org/officeDocument/2006/relationships/hyperlink" Target="#'Vanpool Report'!Q7" /><Relationship Id="rId16" Type="http://schemas.openxmlformats.org/officeDocument/2006/relationships/image" Target="../media/image6.png" /><Relationship Id="rId17" Type="http://schemas.openxmlformats.org/officeDocument/2006/relationships/hyperlink" Target="#'Vanpool Report'!C19" /><Relationship Id="rId18" Type="http://schemas.openxmlformats.org/officeDocument/2006/relationships/hyperlink" Target="#'Vanpool Report'!C19" /><Relationship Id="rId19" Type="http://schemas.openxmlformats.org/officeDocument/2006/relationships/image" Target="../media/image7.png" /><Relationship Id="rId20" Type="http://schemas.openxmlformats.org/officeDocument/2006/relationships/hyperlink" Target="#'Vanpool Report'!C26" /><Relationship Id="rId21" Type="http://schemas.openxmlformats.org/officeDocument/2006/relationships/hyperlink" Target="#'Vanpool Report'!C26" /><Relationship Id="rId22" Type="http://schemas.openxmlformats.org/officeDocument/2006/relationships/hyperlink" Target="#'Daily Mileage Log'!E5" /><Relationship Id="rId23" Type="http://schemas.openxmlformats.org/officeDocument/2006/relationships/hyperlink" Target="#'Sample Daily Mileage Log '!A1" /><Relationship Id="rId24" Type="http://schemas.openxmlformats.org/officeDocument/2006/relationships/hyperlink" Target="#'Ridership Report'!C8" /><Relationship Id="rId25" Type="http://schemas.openxmlformats.org/officeDocument/2006/relationships/hyperlink" Target="#'Sample Ridership Report '!A1" /><Relationship Id="rId26" Type="http://schemas.openxmlformats.org/officeDocument/2006/relationships/hyperlink" Target="#'Vanpool Report'!J6" /><Relationship Id="rId27" Type="http://schemas.openxmlformats.org/officeDocument/2006/relationships/hyperlink" Target="#'Vanpool Roster'!E8" /><Relationship Id="rId2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14</xdr:row>
      <xdr:rowOff>0</xdr:rowOff>
    </xdr:from>
    <xdr:to>
      <xdr:col>10</xdr:col>
      <xdr:colOff>66675</xdr:colOff>
      <xdr:row>16</xdr:row>
      <xdr:rowOff>57150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90975"/>
          <a:ext cx="4057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3</xdr:col>
      <xdr:colOff>371475</xdr:colOff>
      <xdr:row>25</xdr:row>
      <xdr:rowOff>104775</xdr:rowOff>
    </xdr:to>
    <xdr:pic>
      <xdr:nvPicPr>
        <xdr:cNvPr id="2" name="Picture 3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6048375"/>
          <a:ext cx="14382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24</xdr:row>
      <xdr:rowOff>76200</xdr:rowOff>
    </xdr:from>
    <xdr:to>
      <xdr:col>8</xdr:col>
      <xdr:colOff>171450</xdr:colOff>
      <xdr:row>25</xdr:row>
      <xdr:rowOff>95250</xdr:rowOff>
    </xdr:to>
    <xdr:pic>
      <xdr:nvPicPr>
        <xdr:cNvPr id="3" name="Picture 4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71725" y="6353175"/>
          <a:ext cx="1524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29</xdr:row>
      <xdr:rowOff>209550</xdr:rowOff>
    </xdr:from>
    <xdr:to>
      <xdr:col>10</xdr:col>
      <xdr:colOff>85725</xdr:colOff>
      <xdr:row>32</xdr:row>
      <xdr:rowOff>238125</xdr:rowOff>
    </xdr:to>
    <xdr:pic>
      <xdr:nvPicPr>
        <xdr:cNvPr id="4" name="Picture 5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00400" y="852487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34</xdr:row>
      <xdr:rowOff>66675</xdr:rowOff>
    </xdr:from>
    <xdr:to>
      <xdr:col>7</xdr:col>
      <xdr:colOff>57150</xdr:colOff>
      <xdr:row>35</xdr:row>
      <xdr:rowOff>1704975</xdr:rowOff>
    </xdr:to>
    <xdr:pic>
      <xdr:nvPicPr>
        <xdr:cNvPr id="5" name="Picture 7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52450" y="9563100"/>
          <a:ext cx="29908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37</xdr:row>
      <xdr:rowOff>0</xdr:rowOff>
    </xdr:from>
    <xdr:to>
      <xdr:col>7</xdr:col>
      <xdr:colOff>9525</xdr:colOff>
      <xdr:row>37</xdr:row>
      <xdr:rowOff>1104900</xdr:rowOff>
    </xdr:to>
    <xdr:pic>
      <xdr:nvPicPr>
        <xdr:cNvPr id="6" name="Picture 8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6750" y="11753850"/>
          <a:ext cx="2828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39</xdr:row>
      <xdr:rowOff>123825</xdr:rowOff>
    </xdr:from>
    <xdr:to>
      <xdr:col>6</xdr:col>
      <xdr:colOff>571500</xdr:colOff>
      <xdr:row>41</xdr:row>
      <xdr:rowOff>161925</xdr:rowOff>
    </xdr:to>
    <xdr:pic>
      <xdr:nvPicPr>
        <xdr:cNvPr id="7" name="Picture 10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4825" y="13458825"/>
          <a:ext cx="2952750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12</xdr:row>
      <xdr:rowOff>304800</xdr:rowOff>
    </xdr:from>
    <xdr:to>
      <xdr:col>10</xdr:col>
      <xdr:colOff>0</xdr:colOff>
      <xdr:row>14</xdr:row>
      <xdr:rowOff>0</xdr:rowOff>
    </xdr:to>
    <xdr:sp>
      <xdr:nvSpPr>
        <xdr:cNvPr id="8" name="Rectangle 1">
          <a:hlinkClick r:id="rId22"/>
        </xdr:cNvPr>
        <xdr:cNvSpPr>
          <a:spLocks/>
        </xdr:cNvSpPr>
      </xdr:nvSpPr>
      <xdr:spPr>
        <a:xfrm>
          <a:off x="3476625" y="3781425"/>
          <a:ext cx="1047750" cy="209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19050</xdr:rowOff>
    </xdr:from>
    <xdr:to>
      <xdr:col>6</xdr:col>
      <xdr:colOff>238125</xdr:colOff>
      <xdr:row>20</xdr:row>
      <xdr:rowOff>38100</xdr:rowOff>
    </xdr:to>
    <xdr:sp>
      <xdr:nvSpPr>
        <xdr:cNvPr id="9" name="Rectangle 15">
          <a:hlinkClick r:id="rId23"/>
        </xdr:cNvPr>
        <xdr:cNvSpPr>
          <a:spLocks/>
        </xdr:cNvSpPr>
      </xdr:nvSpPr>
      <xdr:spPr>
        <a:xfrm>
          <a:off x="800100" y="5153025"/>
          <a:ext cx="232410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26</xdr:row>
      <xdr:rowOff>47625</xdr:rowOff>
    </xdr:from>
    <xdr:to>
      <xdr:col>10</xdr:col>
      <xdr:colOff>190500</xdr:colOff>
      <xdr:row>27</xdr:row>
      <xdr:rowOff>28575</xdr:rowOff>
    </xdr:to>
    <xdr:sp>
      <xdr:nvSpPr>
        <xdr:cNvPr id="10" name="Rectangle 16">
          <a:hlinkClick r:id="rId24"/>
        </xdr:cNvPr>
        <xdr:cNvSpPr>
          <a:spLocks/>
        </xdr:cNvSpPr>
      </xdr:nvSpPr>
      <xdr:spPr>
        <a:xfrm>
          <a:off x="3724275" y="7677150"/>
          <a:ext cx="990600" cy="209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28</xdr:row>
      <xdr:rowOff>28575</xdr:rowOff>
    </xdr:from>
    <xdr:to>
      <xdr:col>6</xdr:col>
      <xdr:colOff>590550</xdr:colOff>
      <xdr:row>29</xdr:row>
      <xdr:rowOff>47625</xdr:rowOff>
    </xdr:to>
    <xdr:sp>
      <xdr:nvSpPr>
        <xdr:cNvPr id="11" name="Rectangle 17">
          <a:hlinkClick r:id="rId25"/>
        </xdr:cNvPr>
        <xdr:cNvSpPr>
          <a:spLocks/>
        </xdr:cNvSpPr>
      </xdr:nvSpPr>
      <xdr:spPr>
        <a:xfrm>
          <a:off x="876300" y="8115300"/>
          <a:ext cx="2600325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28575</xdr:rowOff>
    </xdr:from>
    <xdr:to>
      <xdr:col>6</xdr:col>
      <xdr:colOff>142875</xdr:colOff>
      <xdr:row>31</xdr:row>
      <xdr:rowOff>19050</xdr:rowOff>
    </xdr:to>
    <xdr:sp>
      <xdr:nvSpPr>
        <xdr:cNvPr id="12" name="Rectangle 19">
          <a:hlinkClick r:id="rId26"/>
        </xdr:cNvPr>
        <xdr:cNvSpPr>
          <a:spLocks/>
        </xdr:cNvSpPr>
      </xdr:nvSpPr>
      <xdr:spPr>
        <a:xfrm>
          <a:off x="1819275" y="8572500"/>
          <a:ext cx="1209675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20</xdr:row>
      <xdr:rowOff>66675</xdr:rowOff>
    </xdr:from>
    <xdr:to>
      <xdr:col>6</xdr:col>
      <xdr:colOff>457200</xdr:colOff>
      <xdr:row>21</xdr:row>
      <xdr:rowOff>9525</xdr:rowOff>
    </xdr:to>
    <xdr:sp>
      <xdr:nvSpPr>
        <xdr:cNvPr id="13" name="Rectangle 14">
          <a:hlinkClick r:id="rId27"/>
        </xdr:cNvPr>
        <xdr:cNvSpPr>
          <a:spLocks/>
        </xdr:cNvSpPr>
      </xdr:nvSpPr>
      <xdr:spPr>
        <a:xfrm>
          <a:off x="2390775" y="5429250"/>
          <a:ext cx="952500" cy="1714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152400</xdr:colOff>
      <xdr:row>11</xdr:row>
      <xdr:rowOff>95250</xdr:rowOff>
    </xdr:from>
    <xdr:to>
      <xdr:col>12</xdr:col>
      <xdr:colOff>219075</xdr:colOff>
      <xdr:row>11</xdr:row>
      <xdr:rowOff>1123950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19100" y="2324100"/>
          <a:ext cx="55435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10</xdr:row>
      <xdr:rowOff>0</xdr:rowOff>
    </xdr:from>
    <xdr:to>
      <xdr:col>9</xdr:col>
      <xdr:colOff>647700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7820025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5</xdr:row>
      <xdr:rowOff>95250</xdr:rowOff>
    </xdr:from>
    <xdr:to>
      <xdr:col>11</xdr:col>
      <xdr:colOff>180975</xdr:colOff>
      <xdr:row>6</xdr:row>
      <xdr:rowOff>161925</xdr:rowOff>
    </xdr:to>
    <xdr:sp>
      <xdr:nvSpPr>
        <xdr:cNvPr id="1" name="Line 6"/>
        <xdr:cNvSpPr>
          <a:spLocks/>
        </xdr:cNvSpPr>
      </xdr:nvSpPr>
      <xdr:spPr>
        <a:xfrm flipH="1">
          <a:off x="9677400" y="914400"/>
          <a:ext cx="476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34</xdr:row>
      <xdr:rowOff>19050</xdr:rowOff>
    </xdr:from>
    <xdr:to>
      <xdr:col>19</xdr:col>
      <xdr:colOff>200025</xdr:colOff>
      <xdr:row>39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85750" y="7000875"/>
          <a:ext cx="4829175" cy="990600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Key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= One way drive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 = Round trip drive                                 A = Absent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\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 One way ride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 = Round trip ride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 = Vacation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# = Drive/Ride same day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 = Holiday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 = Van not available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 = Authorized Backup Carpool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Travel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66675</xdr:colOff>
      <xdr:row>12</xdr:row>
      <xdr:rowOff>142875</xdr:rowOff>
    </xdr:from>
    <xdr:ext cx="7153275" cy="1895475"/>
    <xdr:sp>
      <xdr:nvSpPr>
        <xdr:cNvPr id="1" name="TextBox 2"/>
        <xdr:cNvSpPr txBox="1">
          <a:spLocks noChangeArrowheads="1"/>
        </xdr:cNvSpPr>
      </xdr:nvSpPr>
      <xdr:spPr>
        <a:xfrm rot="20335407">
          <a:off x="923925" y="2514600"/>
          <a:ext cx="7153275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0" b="1" i="0" u="none" baseline="0">
              <a:solidFill>
                <a:srgbClr val="FF0000"/>
              </a:solidFill>
            </a:rPr>
            <a:t>Sample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5</xdr:row>
      <xdr:rowOff>95250</xdr:rowOff>
    </xdr:from>
    <xdr:to>
      <xdr:col>11</xdr:col>
      <xdr:colOff>180975</xdr:colOff>
      <xdr:row>6</xdr:row>
      <xdr:rowOff>161925</xdr:rowOff>
    </xdr:to>
    <xdr:sp>
      <xdr:nvSpPr>
        <xdr:cNvPr id="1" name="Line 6"/>
        <xdr:cNvSpPr>
          <a:spLocks/>
        </xdr:cNvSpPr>
      </xdr:nvSpPr>
      <xdr:spPr>
        <a:xfrm flipH="1">
          <a:off x="9677400" y="914400"/>
          <a:ext cx="476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10</xdr:row>
      <xdr:rowOff>66675</xdr:rowOff>
    </xdr:from>
    <xdr:ext cx="7153275" cy="1905000"/>
    <xdr:sp>
      <xdr:nvSpPr>
        <xdr:cNvPr id="2" name="TextBox 17"/>
        <xdr:cNvSpPr txBox="1">
          <a:spLocks noChangeArrowheads="1"/>
        </xdr:cNvSpPr>
      </xdr:nvSpPr>
      <xdr:spPr>
        <a:xfrm rot="20335407">
          <a:off x="2295525" y="1962150"/>
          <a:ext cx="7153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0" b="1" i="0" u="none" baseline="0">
              <a:solidFill>
                <a:srgbClr val="FF0000"/>
              </a:solidFill>
            </a:rPr>
            <a:t>Sample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34</xdr:row>
      <xdr:rowOff>19050</xdr:rowOff>
    </xdr:from>
    <xdr:to>
      <xdr:col>19</xdr:col>
      <xdr:colOff>200025</xdr:colOff>
      <xdr:row>39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0" y="7000875"/>
          <a:ext cx="4829175" cy="990600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Key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= One way drive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 = Round trip drive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A = Absent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\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 One way ride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 = Round trip ride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 = Vacation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# = Drive/Ride same day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 = Holiday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 = Van not available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 = Authorized Backup Carpool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Travel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oneCellAnchor>
    <xdr:from>
      <xdr:col>1</xdr:col>
      <xdr:colOff>381000</xdr:colOff>
      <xdr:row>11</xdr:row>
      <xdr:rowOff>114300</xdr:rowOff>
    </xdr:from>
    <xdr:ext cx="7153275" cy="1905000"/>
    <xdr:sp>
      <xdr:nvSpPr>
        <xdr:cNvPr id="2" name="TextBox 2"/>
        <xdr:cNvSpPr txBox="1">
          <a:spLocks noChangeArrowheads="1"/>
        </xdr:cNvSpPr>
      </xdr:nvSpPr>
      <xdr:spPr>
        <a:xfrm rot="20335407">
          <a:off x="647700" y="2085975"/>
          <a:ext cx="715327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0" b="1" i="0" u="none" baseline="0">
              <a:solidFill>
                <a:srgbClr val="FF0000"/>
              </a:solidFill>
            </a:rPr>
            <a:t>Sample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YokoO@gmail.com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119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4.00390625" style="76" customWidth="1"/>
    <col min="2" max="3" width="8.00390625" style="4" customWidth="1"/>
    <col min="4" max="4" width="7.28125" style="4" customWidth="1"/>
    <col min="5" max="6" width="8.00390625" style="4" customWidth="1"/>
    <col min="7" max="7" width="9.00390625" style="4" customWidth="1"/>
    <col min="8" max="8" width="3.57421875" style="4" customWidth="1"/>
    <col min="9" max="9" width="8.00390625" style="4" customWidth="1"/>
    <col min="10" max="10" width="4.00390625" style="4" customWidth="1"/>
    <col min="11" max="16384" width="9.140625" style="4" customWidth="1"/>
  </cols>
  <sheetData>
    <row r="1" spans="1:17" ht="21.75" customHeight="1" thickBot="1">
      <c r="A1" s="492" t="s">
        <v>193</v>
      </c>
      <c r="B1" s="493"/>
      <c r="C1" s="493"/>
      <c r="D1" s="493"/>
      <c r="E1" s="493"/>
      <c r="F1" s="493"/>
      <c r="G1" s="493"/>
      <c r="H1" s="493"/>
      <c r="I1" s="493"/>
      <c r="J1" s="494"/>
      <c r="K1" s="369"/>
      <c r="L1" s="369"/>
      <c r="M1" s="369"/>
      <c r="N1" s="369"/>
      <c r="O1" s="369"/>
      <c r="P1" s="369"/>
      <c r="Q1" s="369"/>
    </row>
    <row r="2" spans="1:2" ht="15.75" customHeight="1" thickBot="1">
      <c r="A2" s="75"/>
      <c r="B2" s="4" t="s">
        <v>245</v>
      </c>
    </row>
    <row r="3" spans="1:13" ht="16.5" customHeight="1">
      <c r="A3" s="370"/>
      <c r="B3" s="374"/>
      <c r="C3" s="374"/>
      <c r="D3" s="374"/>
      <c r="E3" s="374"/>
      <c r="F3" s="374"/>
      <c r="G3" s="374"/>
      <c r="H3" s="498" t="s">
        <v>285</v>
      </c>
      <c r="I3" s="499"/>
      <c r="J3" s="499"/>
      <c r="K3" s="499"/>
      <c r="L3" s="499"/>
      <c r="M3" s="500"/>
    </row>
    <row r="4" spans="1:13" ht="12.75" customHeight="1">
      <c r="A4" s="370"/>
      <c r="B4" s="373" t="s">
        <v>246</v>
      </c>
      <c r="G4" s="374"/>
      <c r="H4" s="501"/>
      <c r="I4" s="502"/>
      <c r="J4" s="502"/>
      <c r="K4" s="502"/>
      <c r="L4" s="502"/>
      <c r="M4" s="503"/>
    </row>
    <row r="5" spans="1:13" ht="4.5" customHeight="1">
      <c r="A5" s="370"/>
      <c r="C5" s="63"/>
      <c r="G5" s="374"/>
      <c r="H5" s="501"/>
      <c r="I5" s="502"/>
      <c r="J5" s="502"/>
      <c r="K5" s="502"/>
      <c r="L5" s="502"/>
      <c r="M5" s="503"/>
    </row>
    <row r="6" spans="1:13" ht="18" customHeight="1">
      <c r="A6" s="370"/>
      <c r="B6" s="495" t="s">
        <v>247</v>
      </c>
      <c r="C6" s="496"/>
      <c r="D6" s="496"/>
      <c r="E6" s="496"/>
      <c r="F6" s="497"/>
      <c r="G6" s="374"/>
      <c r="H6" s="501"/>
      <c r="I6" s="502"/>
      <c r="J6" s="502"/>
      <c r="K6" s="502"/>
      <c r="L6" s="502"/>
      <c r="M6" s="503"/>
    </row>
    <row r="7" spans="1:13" ht="7.5" customHeight="1">
      <c r="A7" s="370"/>
      <c r="B7" s="372"/>
      <c r="C7" s="372"/>
      <c r="D7" s="372"/>
      <c r="E7" s="372"/>
      <c r="F7" s="372"/>
      <c r="G7" s="374"/>
      <c r="H7" s="501"/>
      <c r="I7" s="502"/>
      <c r="J7" s="502"/>
      <c r="K7" s="502"/>
      <c r="L7" s="502"/>
      <c r="M7" s="503"/>
    </row>
    <row r="8" spans="1:13" ht="18" customHeight="1">
      <c r="A8" s="370"/>
      <c r="B8" s="477" t="s">
        <v>243</v>
      </c>
      <c r="C8" s="478"/>
      <c r="D8" s="478"/>
      <c r="E8" s="478"/>
      <c r="F8" s="479"/>
      <c r="G8" s="374"/>
      <c r="H8" s="501"/>
      <c r="I8" s="502"/>
      <c r="J8" s="502"/>
      <c r="K8" s="502"/>
      <c r="L8" s="502"/>
      <c r="M8" s="503"/>
    </row>
    <row r="9" spans="1:13" ht="8.25" customHeight="1" thickBot="1">
      <c r="A9" s="370"/>
      <c r="B9" s="370"/>
      <c r="C9" s="370"/>
      <c r="D9" s="370"/>
      <c r="E9" s="370"/>
      <c r="F9" s="370"/>
      <c r="G9" s="374"/>
      <c r="H9" s="504"/>
      <c r="I9" s="505"/>
      <c r="J9" s="505"/>
      <c r="K9" s="505"/>
      <c r="L9" s="505"/>
      <c r="M9" s="506"/>
    </row>
    <row r="10" spans="1:11" ht="26.25" customHeight="1" thickBot="1">
      <c r="A10" s="370"/>
      <c r="B10" s="370"/>
      <c r="C10" s="370"/>
      <c r="D10" s="370"/>
      <c r="E10" s="370"/>
      <c r="F10" s="370"/>
      <c r="G10" s="374"/>
      <c r="H10" s="374"/>
      <c r="I10" s="374"/>
      <c r="J10" s="374"/>
      <c r="K10" s="374"/>
    </row>
    <row r="11" spans="1:13" ht="26.25" customHeight="1" thickTop="1">
      <c r="A11" s="370"/>
      <c r="B11" s="439"/>
      <c r="C11" s="507" t="s">
        <v>304</v>
      </c>
      <c r="D11" s="507"/>
      <c r="E11" s="507"/>
      <c r="F11" s="507"/>
      <c r="G11" s="507"/>
      <c r="H11" s="507"/>
      <c r="I11" s="507"/>
      <c r="J11" s="507"/>
      <c r="K11" s="507"/>
      <c r="L11" s="507"/>
      <c r="M11" s="440"/>
    </row>
    <row r="12" spans="1:13" ht="98.25" customHeight="1" thickBot="1">
      <c r="A12" s="370"/>
      <c r="B12" s="441"/>
      <c r="C12" s="442"/>
      <c r="D12" s="442"/>
      <c r="E12" s="442"/>
      <c r="F12" s="442"/>
      <c r="G12" s="443"/>
      <c r="H12" s="443"/>
      <c r="I12" s="443"/>
      <c r="J12" s="443"/>
      <c r="K12" s="443"/>
      <c r="L12" s="207"/>
      <c r="M12" s="444"/>
    </row>
    <row r="13" spans="1:11" ht="27.75" customHeight="1" thickTop="1">
      <c r="A13" s="370"/>
      <c r="B13" s="438" t="s">
        <v>305</v>
      </c>
      <c r="C13" s="370"/>
      <c r="D13" s="370"/>
      <c r="E13" s="370"/>
      <c r="F13" s="370"/>
      <c r="G13" s="374"/>
      <c r="H13" s="374"/>
      <c r="I13" s="374"/>
      <c r="J13" s="374"/>
      <c r="K13" s="374"/>
    </row>
    <row r="14" spans="1:12" ht="12.75">
      <c r="A14" s="331">
        <v>1</v>
      </c>
      <c r="B14" s="374" t="s">
        <v>248</v>
      </c>
      <c r="H14" s="491" t="s">
        <v>249</v>
      </c>
      <c r="I14" s="491"/>
      <c r="J14" s="491"/>
      <c r="K14" s="371"/>
      <c r="L14" s="371"/>
    </row>
    <row r="15" spans="1:2" ht="18" customHeight="1">
      <c r="A15" s="331"/>
      <c r="B15" s="374"/>
    </row>
    <row r="16" spans="1:2" ht="18" customHeight="1">
      <c r="A16" s="331"/>
      <c r="B16" s="374"/>
    </row>
    <row r="17" spans="1:2" ht="18" customHeight="1">
      <c r="A17" s="331"/>
      <c r="B17" s="374" t="s">
        <v>250</v>
      </c>
    </row>
    <row r="18" spans="1:2" ht="18" customHeight="1">
      <c r="A18" s="331"/>
      <c r="B18" s="374" t="s">
        <v>251</v>
      </c>
    </row>
    <row r="19" spans="1:16" ht="18" customHeight="1">
      <c r="A19" s="331"/>
      <c r="B19" s="374" t="s">
        <v>252</v>
      </c>
      <c r="P19" s="63"/>
    </row>
    <row r="20" spans="1:7" ht="18" customHeight="1">
      <c r="A20" s="331"/>
      <c r="B20" s="374"/>
      <c r="C20" s="491" t="s">
        <v>253</v>
      </c>
      <c r="D20" s="491"/>
      <c r="E20" s="491"/>
      <c r="F20" s="491"/>
      <c r="G20" s="491"/>
    </row>
    <row r="21" spans="1:2" ht="18" customHeight="1">
      <c r="A21" s="331">
        <v>2</v>
      </c>
      <c r="B21" s="374" t="s">
        <v>286</v>
      </c>
    </row>
    <row r="22" spans="1:2" ht="18" customHeight="1">
      <c r="A22" s="57"/>
      <c r="B22" s="375" t="s">
        <v>261</v>
      </c>
    </row>
    <row r="23" spans="1:2" ht="18" customHeight="1">
      <c r="A23" s="57"/>
      <c r="B23" s="375" t="s">
        <v>262</v>
      </c>
    </row>
    <row r="24" spans="1:5" ht="18" customHeight="1">
      <c r="A24" s="57"/>
      <c r="E24" s="4" t="s">
        <v>263</v>
      </c>
    </row>
    <row r="25" ht="88.5" customHeight="1">
      <c r="A25" s="370"/>
    </row>
    <row r="26" ht="18" customHeight="1">
      <c r="A26" s="370"/>
    </row>
    <row r="27" spans="1:11" ht="18" customHeight="1">
      <c r="A27" s="331">
        <v>3</v>
      </c>
      <c r="B27" s="418" t="s">
        <v>254</v>
      </c>
      <c r="I27" s="491" t="s">
        <v>255</v>
      </c>
      <c r="J27" s="491"/>
      <c r="K27" s="491"/>
    </row>
    <row r="28" spans="1:2" ht="18" customHeight="1">
      <c r="A28" s="331"/>
      <c r="B28" s="374" t="s">
        <v>256</v>
      </c>
    </row>
    <row r="29" spans="1:7" ht="18" customHeight="1">
      <c r="A29" s="331"/>
      <c r="B29" s="374"/>
      <c r="C29" s="508" t="s">
        <v>257</v>
      </c>
      <c r="D29" s="508"/>
      <c r="E29" s="508"/>
      <c r="F29" s="508"/>
      <c r="G29" s="508"/>
    </row>
    <row r="30" ht="18" customHeight="1">
      <c r="A30" s="57"/>
    </row>
    <row r="31" spans="1:7" ht="18" customHeight="1">
      <c r="A31" s="57">
        <v>4</v>
      </c>
      <c r="B31" s="490" t="s">
        <v>264</v>
      </c>
      <c r="C31" s="490"/>
      <c r="D31" s="490"/>
      <c r="E31" s="491" t="s">
        <v>265</v>
      </c>
      <c r="F31" s="491"/>
      <c r="G31" s="491"/>
    </row>
    <row r="32" ht="18" customHeight="1">
      <c r="A32" s="57"/>
    </row>
    <row r="33" spans="1:2" ht="25.5" customHeight="1">
      <c r="A33" s="57"/>
      <c r="B33" s="4" t="s">
        <v>266</v>
      </c>
    </row>
    <row r="34" spans="1:2" ht="13.5" customHeight="1">
      <c r="A34" s="57"/>
      <c r="B34" s="4" t="s">
        <v>267</v>
      </c>
    </row>
    <row r="35" ht="18" customHeight="1">
      <c r="A35" s="57"/>
    </row>
    <row r="36" ht="141.75" customHeight="1">
      <c r="A36" s="57"/>
    </row>
    <row r="37" spans="1:2" ht="18" customHeight="1">
      <c r="A37" s="57"/>
      <c r="B37" s="4" t="s">
        <v>268</v>
      </c>
    </row>
    <row r="38" ht="106.5" customHeight="1">
      <c r="A38" s="57"/>
    </row>
    <row r="39" spans="1:2" ht="18" customHeight="1">
      <c r="A39" s="57"/>
      <c r="B39" s="4" t="s">
        <v>269</v>
      </c>
    </row>
    <row r="40" ht="18" customHeight="1">
      <c r="A40" s="57"/>
    </row>
    <row r="41" ht="319.5" customHeight="1">
      <c r="A41" s="57"/>
    </row>
    <row r="42" ht="18" customHeight="1">
      <c r="A42" s="57"/>
    </row>
    <row r="43" ht="18" customHeight="1">
      <c r="A43" s="57"/>
    </row>
    <row r="44" spans="1:2" ht="18" customHeight="1">
      <c r="A44" s="57">
        <v>5</v>
      </c>
      <c r="B44" s="374" t="s">
        <v>244</v>
      </c>
    </row>
    <row r="45" spans="1:2" ht="18" customHeight="1">
      <c r="A45" s="57"/>
      <c r="B45" s="374" t="s">
        <v>258</v>
      </c>
    </row>
    <row r="46" spans="1:2" ht="18" customHeight="1">
      <c r="A46" s="57"/>
      <c r="B46" s="374" t="s">
        <v>259</v>
      </c>
    </row>
    <row r="47" spans="1:4" ht="18" customHeight="1">
      <c r="A47" s="57"/>
      <c r="B47" s="375" t="s">
        <v>260</v>
      </c>
      <c r="D47" s="371"/>
    </row>
    <row r="48" ht="26.25" customHeight="1">
      <c r="A48" s="57"/>
    </row>
    <row r="49" spans="1:2" ht="18" customHeight="1">
      <c r="A49" s="57"/>
      <c r="B49" s="376" t="s">
        <v>85</v>
      </c>
    </row>
    <row r="50" spans="1:2" ht="18" customHeight="1">
      <c r="A50" s="57"/>
      <c r="B50" s="376" t="s">
        <v>86</v>
      </c>
    </row>
    <row r="51" spans="1:2" ht="18" customHeight="1">
      <c r="A51" s="57"/>
      <c r="B51" s="376" t="s">
        <v>87</v>
      </c>
    </row>
    <row r="52" ht="18" customHeight="1">
      <c r="A52" s="57"/>
    </row>
    <row r="53" ht="18" customHeight="1">
      <c r="A53" s="57"/>
    </row>
    <row r="54" ht="18" customHeight="1">
      <c r="A54" s="57"/>
    </row>
    <row r="55" ht="18" customHeight="1">
      <c r="A55" s="57"/>
    </row>
    <row r="56" ht="18" customHeight="1">
      <c r="A56" s="57"/>
    </row>
    <row r="57" ht="18" customHeight="1">
      <c r="A57" s="57"/>
    </row>
    <row r="58" ht="18" customHeight="1">
      <c r="A58" s="57"/>
    </row>
    <row r="59" ht="18" customHeight="1">
      <c r="A59" s="57"/>
    </row>
    <row r="60" ht="18" customHeight="1">
      <c r="A60" s="57"/>
    </row>
    <row r="61" ht="18" customHeight="1">
      <c r="A61" s="57"/>
    </row>
    <row r="62" ht="18" customHeight="1">
      <c r="A62" s="57"/>
    </row>
    <row r="63" ht="18" customHeight="1">
      <c r="A63" s="57"/>
    </row>
    <row r="64" ht="18" customHeight="1">
      <c r="A64" s="57"/>
    </row>
    <row r="65" ht="18" customHeight="1">
      <c r="A65" s="57"/>
    </row>
    <row r="66" ht="18" customHeight="1">
      <c r="A66" s="57"/>
    </row>
    <row r="67" ht="18" customHeight="1">
      <c r="A67" s="57"/>
    </row>
    <row r="68" ht="18" customHeight="1">
      <c r="A68" s="370"/>
    </row>
    <row r="69" ht="18" customHeight="1">
      <c r="A69" s="370"/>
    </row>
    <row r="70" ht="18" customHeight="1">
      <c r="A70" s="75"/>
    </row>
    <row r="71" ht="18" customHeight="1">
      <c r="A71" s="75"/>
    </row>
    <row r="72" ht="18" customHeight="1">
      <c r="A72" s="75"/>
    </row>
    <row r="73" ht="18" customHeight="1">
      <c r="A73" s="75"/>
    </row>
    <row r="74" ht="18" customHeight="1">
      <c r="A74" s="75"/>
    </row>
    <row r="75" ht="18" customHeight="1">
      <c r="A75" s="75"/>
    </row>
    <row r="76" ht="18" customHeight="1">
      <c r="A76" s="75"/>
    </row>
    <row r="77" ht="18" customHeight="1">
      <c r="A77" s="75"/>
    </row>
    <row r="78" ht="18" customHeight="1">
      <c r="A78" s="75"/>
    </row>
    <row r="79" ht="18" customHeight="1">
      <c r="A79" s="75"/>
    </row>
    <row r="80" ht="18" customHeight="1">
      <c r="A80" s="75"/>
    </row>
    <row r="81" ht="18" customHeight="1">
      <c r="A81" s="75"/>
    </row>
    <row r="82" ht="18" customHeight="1">
      <c r="A82" s="75"/>
    </row>
    <row r="83" ht="18" customHeight="1">
      <c r="A83" s="75"/>
    </row>
    <row r="84" ht="18" customHeight="1">
      <c r="A84" s="75"/>
    </row>
    <row r="85" ht="18" customHeight="1">
      <c r="A85" s="75"/>
    </row>
    <row r="86" ht="18" customHeight="1">
      <c r="A86" s="75"/>
    </row>
    <row r="87" ht="18" customHeight="1">
      <c r="A87" s="75"/>
    </row>
    <row r="88" ht="18" customHeight="1">
      <c r="A88" s="57"/>
    </row>
    <row r="89" ht="18" customHeight="1">
      <c r="A89" s="57"/>
    </row>
    <row r="90" ht="18" customHeight="1">
      <c r="A90" s="57"/>
    </row>
    <row r="91" ht="18" customHeight="1">
      <c r="A91" s="57"/>
    </row>
    <row r="92" ht="18" customHeight="1">
      <c r="A92" s="57"/>
    </row>
    <row r="93" ht="12.75">
      <c r="A93" s="57"/>
    </row>
    <row r="94" ht="12.75">
      <c r="A94" s="57"/>
    </row>
    <row r="95" ht="12.75">
      <c r="A95" s="57"/>
    </row>
    <row r="96" ht="12.75">
      <c r="A96" s="57"/>
    </row>
    <row r="97" ht="12.75">
      <c r="A97" s="57"/>
    </row>
    <row r="98" ht="12.75">
      <c r="A98" s="57"/>
    </row>
    <row r="99" ht="12.75">
      <c r="A99" s="57"/>
    </row>
    <row r="100" ht="12.75">
      <c r="A100" s="57"/>
    </row>
    <row r="101" ht="12.75">
      <c r="A101" s="57"/>
    </row>
    <row r="102" ht="12.75">
      <c r="A102" s="57"/>
    </row>
    <row r="103" ht="12.75">
      <c r="A103" s="57"/>
    </row>
    <row r="104" ht="12.75">
      <c r="A104" s="57"/>
    </row>
    <row r="105" ht="12.75">
      <c r="A105" s="57"/>
    </row>
    <row r="106" ht="12.75">
      <c r="A106" s="57"/>
    </row>
    <row r="107" ht="12.75">
      <c r="A107" s="57"/>
    </row>
    <row r="108" ht="12.75">
      <c r="A108" s="57"/>
    </row>
    <row r="109" ht="12.75">
      <c r="A109" s="57"/>
    </row>
    <row r="110" ht="12.75">
      <c r="A110" s="57"/>
    </row>
    <row r="111" ht="12.75">
      <c r="A111" s="57"/>
    </row>
    <row r="112" ht="12.75">
      <c r="A112" s="51"/>
    </row>
    <row r="113" ht="12.75">
      <c r="A113" s="51"/>
    </row>
    <row r="114" ht="12.75">
      <c r="A114" s="51"/>
    </row>
    <row r="115" ht="12.75">
      <c r="A115" s="51"/>
    </row>
    <row r="116" ht="12.75">
      <c r="A116" s="51"/>
    </row>
    <row r="117" ht="12.75">
      <c r="A117" s="51"/>
    </row>
    <row r="118" ht="12.75">
      <c r="A118" s="51"/>
    </row>
    <row r="119" ht="12.75">
      <c r="A119" s="51"/>
    </row>
  </sheetData>
  <sheetProtection password="E4A4" sheet="1" objects="1" scenarios="1" selectLockedCells="1" selectUnlockedCells="1"/>
  <mergeCells count="10">
    <mergeCell ref="B31:D31"/>
    <mergeCell ref="E31:G31"/>
    <mergeCell ref="A1:J1"/>
    <mergeCell ref="B6:F6"/>
    <mergeCell ref="C20:G20"/>
    <mergeCell ref="H3:M9"/>
    <mergeCell ref="C11:L11"/>
    <mergeCell ref="C29:G29"/>
    <mergeCell ref="I27:K27"/>
    <mergeCell ref="H14:J14"/>
  </mergeCells>
  <hyperlinks>
    <hyperlink ref="C20" location="'Sample Daily Mileage Log '!A1" display="See sample Mileage Log for an example."/>
    <hyperlink ref="C29:G29" location="'Sample Ridership Report '!A1" display="See sample Ridership Report for an example."/>
    <hyperlink ref="I27:K27" location="'Ridership Report'!B8" display="Ridership Report"/>
    <hyperlink ref="E31:F31" location="'Vanpool Report'!B12" display="Vanpool Report page"/>
    <hyperlink ref="E31:G31" location="'Vanpool Report'!J6" display="Vanpool Report page"/>
    <hyperlink ref="C20:G20" location="'Sample Daily Mileage Log '!A1" display="*See sample Mileage Log for an example."/>
    <hyperlink ref="H14" location="'Daily Mileage Log'!A1" display="Daily Mileage Log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3"/>
  <sheetViews>
    <sheetView zoomScalePageLayoutView="0" workbookViewId="0" topLeftCell="A1">
      <selection activeCell="K16" sqref="K16"/>
    </sheetView>
  </sheetViews>
  <sheetFormatPr defaultColWidth="9.140625" defaultRowHeight="12.75"/>
  <sheetData>
    <row r="1" spans="1:12" ht="27">
      <c r="A1" s="458" t="s">
        <v>195</v>
      </c>
      <c r="B1" s="459"/>
      <c r="C1" s="460"/>
      <c r="D1" s="460"/>
      <c r="E1" s="460"/>
      <c r="F1" s="460"/>
      <c r="G1" s="460"/>
      <c r="H1" s="460"/>
      <c r="I1" s="460"/>
      <c r="J1" s="461"/>
      <c r="K1" s="461"/>
      <c r="L1" s="461"/>
    </row>
    <row r="2" spans="1:12" ht="12.75">
      <c r="A2" s="462" t="s">
        <v>99</v>
      </c>
      <c r="B2" s="463">
        <v>5</v>
      </c>
      <c r="C2" s="463">
        <v>6</v>
      </c>
      <c r="D2" s="463">
        <v>7</v>
      </c>
      <c r="E2" s="463">
        <v>8</v>
      </c>
      <c r="F2" s="463">
        <v>9</v>
      </c>
      <c r="G2" s="463">
        <v>10</v>
      </c>
      <c r="H2" s="463">
        <v>11</v>
      </c>
      <c r="I2" s="463">
        <v>12</v>
      </c>
      <c r="J2" s="463">
        <v>13</v>
      </c>
      <c r="K2" s="463">
        <v>14</v>
      </c>
      <c r="L2" s="463">
        <v>15</v>
      </c>
    </row>
    <row r="3" spans="1:12" ht="12.75">
      <c r="A3" s="463">
        <v>20</v>
      </c>
      <c r="B3" s="462">
        <v>65</v>
      </c>
      <c r="C3" s="462">
        <v>55</v>
      </c>
      <c r="D3" s="462">
        <v>48</v>
      </c>
      <c r="E3" s="462">
        <v>43</v>
      </c>
      <c r="F3" s="462">
        <v>42</v>
      </c>
      <c r="G3" s="462">
        <v>41</v>
      </c>
      <c r="H3" s="462">
        <v>40</v>
      </c>
      <c r="I3" s="462">
        <v>39</v>
      </c>
      <c r="J3" s="462">
        <v>38</v>
      </c>
      <c r="K3" s="462">
        <v>36</v>
      </c>
      <c r="L3" s="462">
        <v>35</v>
      </c>
    </row>
    <row r="4" spans="1:12" ht="12.75">
      <c r="A4" s="463">
        <v>25</v>
      </c>
      <c r="B4" s="462">
        <v>73</v>
      </c>
      <c r="C4" s="462">
        <v>61</v>
      </c>
      <c r="D4" s="462">
        <v>53</v>
      </c>
      <c r="E4" s="462">
        <v>48</v>
      </c>
      <c r="F4" s="462">
        <v>45</v>
      </c>
      <c r="G4" s="462">
        <v>44</v>
      </c>
      <c r="H4" s="462">
        <v>43</v>
      </c>
      <c r="I4" s="462">
        <v>42</v>
      </c>
      <c r="J4" s="462">
        <v>41</v>
      </c>
      <c r="K4" s="462">
        <v>38</v>
      </c>
      <c r="L4" s="462">
        <v>36</v>
      </c>
    </row>
    <row r="5" spans="1:12" ht="12.75">
      <c r="A5" s="463">
        <v>30</v>
      </c>
      <c r="B5" s="462">
        <v>81</v>
      </c>
      <c r="C5" s="462">
        <v>67</v>
      </c>
      <c r="D5" s="462">
        <v>59</v>
      </c>
      <c r="E5" s="462">
        <v>52</v>
      </c>
      <c r="F5" s="462">
        <v>49</v>
      </c>
      <c r="G5" s="462">
        <v>48</v>
      </c>
      <c r="H5" s="462">
        <v>46</v>
      </c>
      <c r="I5" s="462">
        <v>43</v>
      </c>
      <c r="J5" s="462">
        <v>42</v>
      </c>
      <c r="K5" s="462">
        <v>40</v>
      </c>
      <c r="L5" s="462">
        <v>37</v>
      </c>
    </row>
    <row r="6" spans="1:12" ht="12.75">
      <c r="A6" s="463">
        <v>35</v>
      </c>
      <c r="B6" s="462">
        <v>88</v>
      </c>
      <c r="C6" s="462">
        <v>73</v>
      </c>
      <c r="D6" s="462">
        <v>64</v>
      </c>
      <c r="E6" s="462">
        <v>57</v>
      </c>
      <c r="F6" s="462">
        <v>52</v>
      </c>
      <c r="G6" s="462">
        <v>51</v>
      </c>
      <c r="H6" s="462">
        <v>49</v>
      </c>
      <c r="I6" s="462">
        <v>45</v>
      </c>
      <c r="J6" s="462">
        <v>44</v>
      </c>
      <c r="K6" s="462">
        <v>42</v>
      </c>
      <c r="L6" s="462">
        <v>39</v>
      </c>
    </row>
    <row r="7" spans="1:12" ht="12.75">
      <c r="A7" s="463">
        <v>40</v>
      </c>
      <c r="B7" s="462">
        <v>94</v>
      </c>
      <c r="C7" s="462">
        <v>78</v>
      </c>
      <c r="D7" s="462">
        <v>70</v>
      </c>
      <c r="E7" s="462">
        <v>62</v>
      </c>
      <c r="F7" s="462">
        <v>57</v>
      </c>
      <c r="G7" s="462">
        <v>55</v>
      </c>
      <c r="H7" s="462">
        <v>53</v>
      </c>
      <c r="I7" s="462">
        <v>49</v>
      </c>
      <c r="J7" s="462">
        <v>48</v>
      </c>
      <c r="K7" s="462">
        <v>45</v>
      </c>
      <c r="L7" s="462">
        <v>42</v>
      </c>
    </row>
    <row r="8" spans="1:12" ht="12.75">
      <c r="A8" s="463">
        <v>45</v>
      </c>
      <c r="B8" s="462">
        <v>98</v>
      </c>
      <c r="C8" s="462">
        <v>82</v>
      </c>
      <c r="D8" s="462">
        <v>73</v>
      </c>
      <c r="E8" s="462">
        <v>67</v>
      </c>
      <c r="F8" s="462">
        <v>61</v>
      </c>
      <c r="G8" s="462">
        <v>60</v>
      </c>
      <c r="H8" s="462">
        <v>57</v>
      </c>
      <c r="I8" s="462">
        <v>52</v>
      </c>
      <c r="J8" s="462">
        <v>51</v>
      </c>
      <c r="K8" s="462">
        <v>48</v>
      </c>
      <c r="L8" s="462">
        <v>45</v>
      </c>
    </row>
    <row r="9" spans="1:12" ht="12.75">
      <c r="A9" s="463">
        <v>50</v>
      </c>
      <c r="B9" s="462">
        <v>103</v>
      </c>
      <c r="C9" s="462">
        <v>86</v>
      </c>
      <c r="D9" s="462">
        <v>77</v>
      </c>
      <c r="E9" s="462">
        <v>73</v>
      </c>
      <c r="F9" s="462">
        <v>67</v>
      </c>
      <c r="G9" s="462">
        <v>65</v>
      </c>
      <c r="H9" s="462">
        <v>62</v>
      </c>
      <c r="I9" s="462">
        <v>57</v>
      </c>
      <c r="J9" s="462">
        <v>55</v>
      </c>
      <c r="K9" s="462">
        <v>51</v>
      </c>
      <c r="L9" s="462">
        <v>49</v>
      </c>
    </row>
    <row r="10" spans="1:12" ht="12.75">
      <c r="A10" s="463">
        <v>55</v>
      </c>
      <c r="B10" s="462">
        <v>107</v>
      </c>
      <c r="C10" s="462">
        <v>89</v>
      </c>
      <c r="D10" s="462">
        <v>80</v>
      </c>
      <c r="E10" s="462">
        <v>78</v>
      </c>
      <c r="F10" s="462">
        <v>72</v>
      </c>
      <c r="G10" s="462">
        <v>70</v>
      </c>
      <c r="H10" s="462">
        <v>66</v>
      </c>
      <c r="I10" s="462">
        <v>62</v>
      </c>
      <c r="J10" s="462">
        <v>58</v>
      </c>
      <c r="K10" s="462">
        <v>55</v>
      </c>
      <c r="L10" s="462">
        <v>52</v>
      </c>
    </row>
    <row r="11" spans="1:12" ht="12.75">
      <c r="A11" s="463">
        <v>60</v>
      </c>
      <c r="B11" s="462">
        <v>112</v>
      </c>
      <c r="C11" s="462">
        <v>93</v>
      </c>
      <c r="D11" s="462">
        <v>83</v>
      </c>
      <c r="E11" s="462">
        <v>81</v>
      </c>
      <c r="F11" s="462">
        <v>75</v>
      </c>
      <c r="G11" s="462">
        <v>73</v>
      </c>
      <c r="H11" s="462">
        <v>70</v>
      </c>
      <c r="I11" s="462">
        <v>65</v>
      </c>
      <c r="J11" s="462">
        <v>61</v>
      </c>
      <c r="K11" s="462">
        <v>58</v>
      </c>
      <c r="L11" s="462">
        <v>55</v>
      </c>
    </row>
    <row r="12" spans="1:12" ht="12.75">
      <c r="A12" s="463">
        <v>65</v>
      </c>
      <c r="B12" s="462">
        <v>117</v>
      </c>
      <c r="C12" s="462">
        <v>97</v>
      </c>
      <c r="D12" s="462">
        <v>87</v>
      </c>
      <c r="E12" s="462">
        <v>85</v>
      </c>
      <c r="F12" s="462">
        <v>78</v>
      </c>
      <c r="G12" s="462">
        <v>76</v>
      </c>
      <c r="H12" s="462">
        <v>74</v>
      </c>
      <c r="I12" s="462">
        <v>68</v>
      </c>
      <c r="J12" s="462">
        <v>63</v>
      </c>
      <c r="K12" s="462">
        <v>60</v>
      </c>
      <c r="L12" s="462">
        <v>58</v>
      </c>
    </row>
    <row r="13" spans="1:12" ht="12.75">
      <c r="A13" s="463">
        <v>70</v>
      </c>
      <c r="B13" s="462">
        <v>122</v>
      </c>
      <c r="C13" s="462">
        <v>102</v>
      </c>
      <c r="D13" s="462">
        <v>91</v>
      </c>
      <c r="E13" s="462">
        <v>89</v>
      </c>
      <c r="F13" s="462">
        <v>82</v>
      </c>
      <c r="G13" s="462">
        <v>80</v>
      </c>
      <c r="H13" s="462">
        <v>77</v>
      </c>
      <c r="I13" s="462">
        <v>72</v>
      </c>
      <c r="J13" s="462">
        <v>66</v>
      </c>
      <c r="K13" s="462">
        <v>64</v>
      </c>
      <c r="L13" s="462">
        <v>61</v>
      </c>
    </row>
    <row r="14" spans="1:12" ht="12.75">
      <c r="A14" s="463">
        <v>75</v>
      </c>
      <c r="B14" s="462">
        <v>127</v>
      </c>
      <c r="C14" s="462">
        <v>106</v>
      </c>
      <c r="D14" s="462">
        <v>94</v>
      </c>
      <c r="E14" s="462">
        <v>91</v>
      </c>
      <c r="F14" s="462">
        <v>85</v>
      </c>
      <c r="G14" s="462">
        <v>83</v>
      </c>
      <c r="H14" s="462">
        <v>80</v>
      </c>
      <c r="I14" s="462">
        <v>76</v>
      </c>
      <c r="J14" s="462">
        <v>69</v>
      </c>
      <c r="K14" s="462">
        <v>66</v>
      </c>
      <c r="L14" s="462">
        <v>63</v>
      </c>
    </row>
    <row r="15" spans="1:12" ht="12.75">
      <c r="A15" s="463">
        <v>80</v>
      </c>
      <c r="B15" s="462">
        <v>129</v>
      </c>
      <c r="C15" s="462">
        <v>108</v>
      </c>
      <c r="D15" s="462">
        <v>96</v>
      </c>
      <c r="E15" s="462">
        <v>93</v>
      </c>
      <c r="F15" s="462">
        <v>87</v>
      </c>
      <c r="G15" s="462">
        <v>85</v>
      </c>
      <c r="H15" s="462">
        <v>83</v>
      </c>
      <c r="I15" s="462">
        <v>78</v>
      </c>
      <c r="J15" s="462">
        <v>71</v>
      </c>
      <c r="K15" s="462">
        <v>68</v>
      </c>
      <c r="L15" s="462">
        <v>66</v>
      </c>
    </row>
    <row r="16" spans="1:12" ht="12.75">
      <c r="A16" s="463">
        <v>85</v>
      </c>
      <c r="B16" s="462">
        <v>133</v>
      </c>
      <c r="C16" s="462">
        <v>111</v>
      </c>
      <c r="D16" s="462">
        <v>99</v>
      </c>
      <c r="E16" s="462">
        <v>96</v>
      </c>
      <c r="F16" s="462">
        <v>89</v>
      </c>
      <c r="G16" s="462">
        <v>88</v>
      </c>
      <c r="H16" s="462">
        <v>85</v>
      </c>
      <c r="I16" s="462">
        <v>80</v>
      </c>
      <c r="J16" s="462">
        <v>73</v>
      </c>
      <c r="K16" s="462">
        <v>70</v>
      </c>
      <c r="L16" s="462">
        <v>67</v>
      </c>
    </row>
    <row r="17" spans="1:12" ht="12.75">
      <c r="A17" s="463">
        <v>90</v>
      </c>
      <c r="B17" s="462">
        <v>137</v>
      </c>
      <c r="C17" s="462">
        <v>114</v>
      </c>
      <c r="D17" s="462">
        <v>102</v>
      </c>
      <c r="E17" s="462">
        <v>99</v>
      </c>
      <c r="F17" s="462">
        <v>93</v>
      </c>
      <c r="G17" s="462">
        <v>91</v>
      </c>
      <c r="H17" s="462">
        <v>88</v>
      </c>
      <c r="I17" s="462">
        <v>83</v>
      </c>
      <c r="J17" s="462">
        <v>75</v>
      </c>
      <c r="K17" s="462">
        <v>71</v>
      </c>
      <c r="L17" s="462">
        <v>68</v>
      </c>
    </row>
    <row r="18" spans="1:12" ht="12.75">
      <c r="A18" s="463">
        <v>95</v>
      </c>
      <c r="B18" s="462">
        <v>139</v>
      </c>
      <c r="C18" s="462">
        <v>116</v>
      </c>
      <c r="D18" s="462">
        <v>105</v>
      </c>
      <c r="E18" s="462">
        <v>102</v>
      </c>
      <c r="F18" s="462">
        <v>96</v>
      </c>
      <c r="G18" s="462">
        <v>94</v>
      </c>
      <c r="H18" s="462">
        <v>90</v>
      </c>
      <c r="I18" s="462">
        <v>85</v>
      </c>
      <c r="J18" s="462">
        <v>77</v>
      </c>
      <c r="K18" s="462">
        <v>73</v>
      </c>
      <c r="L18" s="462">
        <v>71</v>
      </c>
    </row>
    <row r="19" spans="1:12" ht="12.75">
      <c r="A19" s="463">
        <v>100</v>
      </c>
      <c r="B19" s="462">
        <v>146</v>
      </c>
      <c r="C19" s="462">
        <v>122</v>
      </c>
      <c r="D19" s="462">
        <v>108</v>
      </c>
      <c r="E19" s="462">
        <v>106</v>
      </c>
      <c r="F19" s="462">
        <v>100</v>
      </c>
      <c r="G19" s="462">
        <v>98</v>
      </c>
      <c r="H19" s="462">
        <v>93</v>
      </c>
      <c r="I19" s="462">
        <v>88</v>
      </c>
      <c r="J19" s="462">
        <v>80</v>
      </c>
      <c r="K19" s="462">
        <v>77</v>
      </c>
      <c r="L19" s="462">
        <v>74</v>
      </c>
    </row>
    <row r="20" spans="1:12" ht="12.75">
      <c r="A20" s="463">
        <v>105</v>
      </c>
      <c r="B20" s="462">
        <v>151</v>
      </c>
      <c r="C20" s="462">
        <v>126</v>
      </c>
      <c r="D20" s="462">
        <v>111</v>
      </c>
      <c r="E20" s="462">
        <v>109</v>
      </c>
      <c r="F20" s="462">
        <v>103</v>
      </c>
      <c r="G20" s="462">
        <v>101</v>
      </c>
      <c r="H20" s="462">
        <v>95</v>
      </c>
      <c r="I20" s="462">
        <v>92</v>
      </c>
      <c r="J20" s="462">
        <v>83</v>
      </c>
      <c r="K20" s="462">
        <v>80</v>
      </c>
      <c r="L20" s="462">
        <v>76</v>
      </c>
    </row>
    <row r="21" spans="1:12" ht="12.75">
      <c r="A21" s="463">
        <v>110</v>
      </c>
      <c r="B21" s="462">
        <v>154</v>
      </c>
      <c r="C21" s="462">
        <v>129</v>
      </c>
      <c r="D21" s="462">
        <v>114</v>
      </c>
      <c r="E21" s="462">
        <v>111</v>
      </c>
      <c r="F21" s="462">
        <v>105</v>
      </c>
      <c r="G21" s="462">
        <v>103</v>
      </c>
      <c r="H21" s="462">
        <v>98</v>
      </c>
      <c r="I21" s="462">
        <v>94</v>
      </c>
      <c r="J21" s="462">
        <v>86</v>
      </c>
      <c r="K21" s="462">
        <v>81</v>
      </c>
      <c r="L21" s="462">
        <v>78</v>
      </c>
    </row>
    <row r="22" spans="1:12" ht="12.75">
      <c r="A22" s="463">
        <v>115</v>
      </c>
      <c r="B22" s="462">
        <v>158</v>
      </c>
      <c r="C22" s="462">
        <v>132</v>
      </c>
      <c r="D22" s="462">
        <v>117</v>
      </c>
      <c r="E22" s="462">
        <v>114</v>
      </c>
      <c r="F22" s="462">
        <v>108</v>
      </c>
      <c r="G22" s="462">
        <v>106</v>
      </c>
      <c r="H22" s="462">
        <v>102</v>
      </c>
      <c r="I22" s="462">
        <v>96</v>
      </c>
      <c r="J22" s="462">
        <v>87</v>
      </c>
      <c r="K22" s="462">
        <v>82</v>
      </c>
      <c r="L22" s="462">
        <v>79</v>
      </c>
    </row>
    <row r="23" spans="1:12" ht="12.75">
      <c r="A23" s="463">
        <v>120</v>
      </c>
      <c r="B23" s="462">
        <v>162</v>
      </c>
      <c r="C23" s="462">
        <v>135</v>
      </c>
      <c r="D23" s="462">
        <v>120</v>
      </c>
      <c r="E23" s="462">
        <v>117</v>
      </c>
      <c r="F23" s="462">
        <v>111</v>
      </c>
      <c r="G23" s="462">
        <v>109</v>
      </c>
      <c r="H23" s="462">
        <v>105</v>
      </c>
      <c r="I23" s="462">
        <v>99</v>
      </c>
      <c r="J23" s="462">
        <v>89</v>
      </c>
      <c r="K23" s="462">
        <v>85</v>
      </c>
      <c r="L23" s="462">
        <v>81</v>
      </c>
    </row>
    <row r="24" spans="1:12" ht="12.75">
      <c r="A24" s="463">
        <v>125</v>
      </c>
      <c r="B24" s="462">
        <v>166</v>
      </c>
      <c r="C24" s="462">
        <v>138</v>
      </c>
      <c r="D24" s="462">
        <v>122</v>
      </c>
      <c r="E24" s="462">
        <v>120</v>
      </c>
      <c r="F24" s="462">
        <v>114</v>
      </c>
      <c r="G24" s="462">
        <v>112</v>
      </c>
      <c r="H24" s="462">
        <v>108</v>
      </c>
      <c r="I24" s="462">
        <v>102</v>
      </c>
      <c r="J24" s="462">
        <v>92</v>
      </c>
      <c r="K24" s="462">
        <v>88</v>
      </c>
      <c r="L24" s="462">
        <v>85</v>
      </c>
    </row>
    <row r="25" spans="1:12" ht="12.75">
      <c r="A25" s="463">
        <v>130</v>
      </c>
      <c r="B25" s="462">
        <v>168</v>
      </c>
      <c r="C25" s="462">
        <v>140</v>
      </c>
      <c r="D25" s="462">
        <v>124</v>
      </c>
      <c r="E25" s="462">
        <v>122</v>
      </c>
      <c r="F25" s="462">
        <v>116</v>
      </c>
      <c r="G25" s="462">
        <v>114</v>
      </c>
      <c r="H25" s="462">
        <v>109</v>
      </c>
      <c r="I25" s="462">
        <v>104</v>
      </c>
      <c r="J25" s="462">
        <v>95</v>
      </c>
      <c r="K25" s="462">
        <v>90</v>
      </c>
      <c r="L25" s="462">
        <v>88</v>
      </c>
    </row>
    <row r="26" spans="1:12" ht="12.75">
      <c r="A26" s="463">
        <v>135</v>
      </c>
      <c r="B26" s="462">
        <v>174</v>
      </c>
      <c r="C26" s="462">
        <v>145</v>
      </c>
      <c r="D26" s="462">
        <v>128</v>
      </c>
      <c r="E26" s="462">
        <v>126</v>
      </c>
      <c r="F26" s="462">
        <v>120</v>
      </c>
      <c r="G26" s="462">
        <v>118</v>
      </c>
      <c r="H26" s="462">
        <v>112</v>
      </c>
      <c r="I26" s="462">
        <v>106</v>
      </c>
      <c r="J26" s="462">
        <v>97</v>
      </c>
      <c r="K26" s="462">
        <v>93</v>
      </c>
      <c r="L26" s="462">
        <v>89</v>
      </c>
    </row>
    <row r="27" spans="1:12" ht="12.75">
      <c r="A27" s="463">
        <v>140</v>
      </c>
      <c r="B27" s="462">
        <v>177</v>
      </c>
      <c r="C27" s="462">
        <v>148</v>
      </c>
      <c r="D27" s="462">
        <v>131</v>
      </c>
      <c r="E27" s="462">
        <v>128</v>
      </c>
      <c r="F27" s="462">
        <v>123</v>
      </c>
      <c r="G27" s="462">
        <v>121</v>
      </c>
      <c r="H27" s="462">
        <v>115</v>
      </c>
      <c r="I27" s="462">
        <v>108</v>
      </c>
      <c r="J27" s="462">
        <v>99</v>
      </c>
      <c r="K27" s="462">
        <v>95</v>
      </c>
      <c r="L27" s="462">
        <v>91</v>
      </c>
    </row>
    <row r="28" spans="1:12" ht="12.75">
      <c r="A28" s="463">
        <v>145</v>
      </c>
      <c r="B28" s="462">
        <v>181</v>
      </c>
      <c r="C28" s="462">
        <v>151</v>
      </c>
      <c r="D28" s="462">
        <v>133</v>
      </c>
      <c r="E28" s="462">
        <v>131</v>
      </c>
      <c r="F28" s="462">
        <v>125</v>
      </c>
      <c r="G28" s="462">
        <v>123</v>
      </c>
      <c r="H28" s="462">
        <v>118</v>
      </c>
      <c r="I28" s="462">
        <v>111</v>
      </c>
      <c r="J28" s="462">
        <v>101</v>
      </c>
      <c r="K28" s="462">
        <v>97</v>
      </c>
      <c r="L28" s="462">
        <v>93</v>
      </c>
    </row>
    <row r="29" spans="1:12" ht="12.75">
      <c r="A29" s="463">
        <v>150</v>
      </c>
      <c r="B29" s="462">
        <v>185</v>
      </c>
      <c r="C29" s="462">
        <v>154</v>
      </c>
      <c r="D29" s="462">
        <v>136</v>
      </c>
      <c r="E29" s="462">
        <v>134</v>
      </c>
      <c r="F29" s="462">
        <v>128</v>
      </c>
      <c r="G29" s="462">
        <v>126</v>
      </c>
      <c r="H29" s="462">
        <v>121</v>
      </c>
      <c r="I29" s="462">
        <v>114</v>
      </c>
      <c r="J29" s="462">
        <v>104</v>
      </c>
      <c r="K29" s="462">
        <v>101</v>
      </c>
      <c r="L29" s="462">
        <v>97</v>
      </c>
    </row>
    <row r="30" spans="1:12" ht="12.75">
      <c r="A30" s="463">
        <v>155</v>
      </c>
      <c r="B30" s="462">
        <v>188</v>
      </c>
      <c r="C30" s="462">
        <v>157</v>
      </c>
      <c r="D30" s="462">
        <v>138</v>
      </c>
      <c r="E30" s="462">
        <v>136</v>
      </c>
      <c r="F30" s="462">
        <v>131</v>
      </c>
      <c r="G30" s="462">
        <v>129</v>
      </c>
      <c r="H30" s="462">
        <v>124</v>
      </c>
      <c r="I30" s="462">
        <v>116</v>
      </c>
      <c r="J30" s="462">
        <v>107</v>
      </c>
      <c r="K30" s="462">
        <v>103</v>
      </c>
      <c r="L30" s="462">
        <v>100</v>
      </c>
    </row>
    <row r="31" spans="1:12" ht="12.75">
      <c r="A31" s="463">
        <v>160</v>
      </c>
      <c r="B31" s="462">
        <v>192</v>
      </c>
      <c r="C31" s="462">
        <v>160</v>
      </c>
      <c r="D31" s="462">
        <v>141</v>
      </c>
      <c r="E31" s="462">
        <v>139</v>
      </c>
      <c r="F31" s="462">
        <v>133</v>
      </c>
      <c r="G31" s="462">
        <v>132</v>
      </c>
      <c r="H31" s="462">
        <v>126</v>
      </c>
      <c r="I31" s="462">
        <v>119</v>
      </c>
      <c r="J31" s="462">
        <v>109</v>
      </c>
      <c r="K31" s="462">
        <v>105</v>
      </c>
      <c r="L31" s="462">
        <v>101</v>
      </c>
    </row>
    <row r="32" spans="1:12" ht="12.75">
      <c r="A32" s="463">
        <v>165</v>
      </c>
      <c r="B32" s="462">
        <v>196</v>
      </c>
      <c r="C32" s="462">
        <v>164</v>
      </c>
      <c r="D32" s="462">
        <v>144</v>
      </c>
      <c r="E32" s="462">
        <v>142</v>
      </c>
      <c r="F32" s="462">
        <v>136</v>
      </c>
      <c r="G32" s="462">
        <v>134</v>
      </c>
      <c r="H32" s="462">
        <v>129</v>
      </c>
      <c r="I32" s="462">
        <v>122</v>
      </c>
      <c r="J32" s="462">
        <v>111</v>
      </c>
      <c r="K32" s="462">
        <v>107</v>
      </c>
      <c r="L32" s="462">
        <v>103</v>
      </c>
    </row>
    <row r="33" spans="1:12" ht="12.75">
      <c r="A33" s="463">
        <v>170</v>
      </c>
      <c r="B33" s="462">
        <v>199</v>
      </c>
      <c r="C33" s="462">
        <v>166</v>
      </c>
      <c r="D33" s="462">
        <v>146</v>
      </c>
      <c r="E33" s="462">
        <v>144</v>
      </c>
      <c r="F33" s="462">
        <v>139</v>
      </c>
      <c r="G33" s="462">
        <v>137</v>
      </c>
      <c r="H33" s="462">
        <v>132</v>
      </c>
      <c r="I33" s="462">
        <v>124</v>
      </c>
      <c r="J33" s="462">
        <v>113</v>
      </c>
      <c r="K33" s="462">
        <v>109</v>
      </c>
      <c r="L33" s="462">
        <v>105</v>
      </c>
    </row>
    <row r="34" spans="1:12" ht="12.75">
      <c r="A34" s="463">
        <v>175</v>
      </c>
      <c r="B34" s="462">
        <v>204</v>
      </c>
      <c r="C34" s="462" t="s">
        <v>196</v>
      </c>
      <c r="D34" s="462">
        <v>149</v>
      </c>
      <c r="E34" s="462">
        <v>147</v>
      </c>
      <c r="F34" s="462">
        <v>142</v>
      </c>
      <c r="G34" s="462">
        <v>140</v>
      </c>
      <c r="H34" s="462">
        <v>135</v>
      </c>
      <c r="I34" s="462">
        <v>126</v>
      </c>
      <c r="J34" s="462">
        <v>115</v>
      </c>
      <c r="K34" s="462">
        <v>111</v>
      </c>
      <c r="L34" s="462">
        <v>106</v>
      </c>
    </row>
    <row r="35" spans="1:12" ht="12.75">
      <c r="A35" s="463">
        <v>180</v>
      </c>
      <c r="B35" s="462">
        <v>208</v>
      </c>
      <c r="C35" s="462">
        <v>173</v>
      </c>
      <c r="D35" s="462">
        <v>152</v>
      </c>
      <c r="E35" s="462">
        <v>150</v>
      </c>
      <c r="F35" s="462">
        <v>145</v>
      </c>
      <c r="G35" s="462">
        <v>143</v>
      </c>
      <c r="H35" s="462">
        <v>138</v>
      </c>
      <c r="I35" s="462">
        <v>129</v>
      </c>
      <c r="J35" s="462">
        <v>117</v>
      </c>
      <c r="K35" s="462">
        <v>113</v>
      </c>
      <c r="L35" s="462">
        <v>108</v>
      </c>
    </row>
    <row r="36" spans="1:12" ht="12.75">
      <c r="A36" s="463">
        <v>185</v>
      </c>
      <c r="B36" s="462">
        <v>210</v>
      </c>
      <c r="C36" s="462">
        <v>175</v>
      </c>
      <c r="D36" s="462">
        <v>154</v>
      </c>
      <c r="E36" s="462">
        <v>152</v>
      </c>
      <c r="F36" s="462">
        <v>147</v>
      </c>
      <c r="G36" s="462">
        <v>145</v>
      </c>
      <c r="H36" s="462">
        <v>140</v>
      </c>
      <c r="I36" s="462">
        <v>131</v>
      </c>
      <c r="J36" s="462">
        <v>119</v>
      </c>
      <c r="K36" s="462">
        <v>114</v>
      </c>
      <c r="L36" s="462">
        <v>110</v>
      </c>
    </row>
    <row r="37" spans="1:12" ht="12.75">
      <c r="A37" s="463">
        <v>190</v>
      </c>
      <c r="B37" s="462">
        <v>212</v>
      </c>
      <c r="C37" s="462">
        <v>177</v>
      </c>
      <c r="D37" s="462">
        <v>155</v>
      </c>
      <c r="E37" s="462">
        <v>153</v>
      </c>
      <c r="F37" s="462">
        <v>149</v>
      </c>
      <c r="G37" s="462">
        <v>147</v>
      </c>
      <c r="H37" s="462">
        <v>142</v>
      </c>
      <c r="I37" s="462">
        <v>133</v>
      </c>
      <c r="J37" s="462">
        <v>122</v>
      </c>
      <c r="K37" s="462">
        <v>116</v>
      </c>
      <c r="L37" s="462">
        <v>112</v>
      </c>
    </row>
    <row r="38" spans="1:12" ht="12.75">
      <c r="A38" s="463">
        <v>195</v>
      </c>
      <c r="B38" s="462">
        <v>214</v>
      </c>
      <c r="C38" s="462">
        <v>178</v>
      </c>
      <c r="D38" s="462">
        <v>157</v>
      </c>
      <c r="E38" s="462">
        <v>155</v>
      </c>
      <c r="F38" s="462">
        <v>151</v>
      </c>
      <c r="G38" s="462">
        <v>149</v>
      </c>
      <c r="H38" s="462">
        <v>143</v>
      </c>
      <c r="I38" s="462">
        <v>134</v>
      </c>
      <c r="J38" s="462">
        <v>123</v>
      </c>
      <c r="K38" s="462">
        <v>118</v>
      </c>
      <c r="L38" s="462">
        <v>113</v>
      </c>
    </row>
    <row r="39" spans="1:12" ht="12.75">
      <c r="A39" s="463">
        <v>200</v>
      </c>
      <c r="B39" s="462">
        <v>217</v>
      </c>
      <c r="C39" s="462">
        <v>181</v>
      </c>
      <c r="D39" s="462">
        <v>158</v>
      </c>
      <c r="E39" s="462">
        <v>156</v>
      </c>
      <c r="F39" s="462">
        <v>153</v>
      </c>
      <c r="G39" s="462">
        <v>151</v>
      </c>
      <c r="H39" s="462">
        <v>145</v>
      </c>
      <c r="I39" s="462">
        <v>135</v>
      </c>
      <c r="J39" s="462">
        <v>125</v>
      </c>
      <c r="K39" s="462">
        <v>120</v>
      </c>
      <c r="L39" s="462">
        <v>115</v>
      </c>
    </row>
    <row r="40" spans="1:12" ht="13.5">
      <c r="A40" s="464"/>
      <c r="B40" s="462">
        <v>0</v>
      </c>
      <c r="C40" s="462">
        <v>0</v>
      </c>
      <c r="D40" s="462">
        <v>0</v>
      </c>
      <c r="E40" s="462">
        <v>0</v>
      </c>
      <c r="F40" s="462">
        <v>0</v>
      </c>
      <c r="G40" s="462">
        <v>0</v>
      </c>
      <c r="H40" s="462">
        <v>0</v>
      </c>
      <c r="I40" s="462">
        <v>0</v>
      </c>
      <c r="J40" s="462">
        <v>0</v>
      </c>
      <c r="K40" s="462">
        <v>0</v>
      </c>
      <c r="L40" s="462">
        <v>0</v>
      </c>
    </row>
    <row r="41" spans="1:12" ht="13.5">
      <c r="A41" s="458" t="s">
        <v>197</v>
      </c>
      <c r="B41" s="465"/>
      <c r="C41" s="465"/>
      <c r="D41" s="465"/>
      <c r="E41" s="465"/>
      <c r="F41" s="465"/>
      <c r="G41" s="465"/>
      <c r="H41" s="465"/>
      <c r="I41" s="465"/>
      <c r="J41" s="465"/>
      <c r="K41" s="465"/>
      <c r="L41" s="465"/>
    </row>
    <row r="42" spans="1:12" ht="12.75">
      <c r="A42" s="462" t="s">
        <v>99</v>
      </c>
      <c r="B42" s="463">
        <v>5</v>
      </c>
      <c r="C42" s="463">
        <v>6</v>
      </c>
      <c r="D42" s="463">
        <v>7</v>
      </c>
      <c r="E42" s="463">
        <v>8</v>
      </c>
      <c r="F42" s="463">
        <v>9</v>
      </c>
      <c r="G42" s="463">
        <v>10</v>
      </c>
      <c r="H42" s="463">
        <v>11</v>
      </c>
      <c r="I42" s="463">
        <v>12</v>
      </c>
      <c r="J42" s="463">
        <v>13</v>
      </c>
      <c r="K42" s="463">
        <v>14</v>
      </c>
      <c r="L42" s="463">
        <v>15</v>
      </c>
    </row>
    <row r="43" spans="1:12" ht="12.75">
      <c r="A43" s="463">
        <v>20</v>
      </c>
      <c r="B43" s="462">
        <v>69</v>
      </c>
      <c r="C43" s="462">
        <v>58</v>
      </c>
      <c r="D43" s="462">
        <v>50</v>
      </c>
      <c r="E43" s="462">
        <v>44</v>
      </c>
      <c r="F43" s="462">
        <v>43</v>
      </c>
      <c r="G43" s="462">
        <v>42</v>
      </c>
      <c r="H43" s="462">
        <v>40</v>
      </c>
      <c r="I43" s="462">
        <v>37</v>
      </c>
      <c r="J43" s="462">
        <v>36</v>
      </c>
      <c r="K43" s="462">
        <v>35</v>
      </c>
      <c r="L43" s="462">
        <v>33</v>
      </c>
    </row>
    <row r="44" spans="1:12" ht="12.75">
      <c r="A44" s="463">
        <v>25</v>
      </c>
      <c r="B44" s="462">
        <v>79</v>
      </c>
      <c r="C44" s="462">
        <v>66</v>
      </c>
      <c r="D44" s="462">
        <v>58</v>
      </c>
      <c r="E44" s="462">
        <v>51</v>
      </c>
      <c r="F44" s="462">
        <v>47</v>
      </c>
      <c r="G44" s="462">
        <v>46</v>
      </c>
      <c r="H44" s="462">
        <v>45</v>
      </c>
      <c r="I44" s="462">
        <v>41</v>
      </c>
      <c r="J44" s="462">
        <v>40</v>
      </c>
      <c r="K44" s="462">
        <v>39</v>
      </c>
      <c r="L44" s="462">
        <v>36</v>
      </c>
    </row>
    <row r="45" spans="1:12" ht="12.75">
      <c r="A45" s="463">
        <v>30</v>
      </c>
      <c r="B45" s="462">
        <v>88</v>
      </c>
      <c r="C45" s="462">
        <v>73</v>
      </c>
      <c r="D45" s="462">
        <v>64</v>
      </c>
      <c r="E45" s="462">
        <v>57</v>
      </c>
      <c r="F45" s="462">
        <v>52</v>
      </c>
      <c r="G45" s="462">
        <v>51</v>
      </c>
      <c r="H45" s="462">
        <v>49</v>
      </c>
      <c r="I45" s="462">
        <v>45</v>
      </c>
      <c r="J45" s="462">
        <v>43</v>
      </c>
      <c r="K45" s="462">
        <v>42</v>
      </c>
      <c r="L45" s="462">
        <v>39</v>
      </c>
    </row>
    <row r="46" spans="1:12" ht="12.75">
      <c r="A46" s="463">
        <v>35</v>
      </c>
      <c r="B46" s="462">
        <v>95</v>
      </c>
      <c r="C46" s="462">
        <v>79</v>
      </c>
      <c r="D46" s="462">
        <v>71</v>
      </c>
      <c r="E46" s="462">
        <v>64</v>
      </c>
      <c r="F46" s="462">
        <v>58</v>
      </c>
      <c r="G46" s="462">
        <v>56</v>
      </c>
      <c r="H46" s="462">
        <v>54</v>
      </c>
      <c r="I46" s="462">
        <v>49</v>
      </c>
      <c r="J46" s="462">
        <v>47</v>
      </c>
      <c r="K46" s="462">
        <v>46</v>
      </c>
      <c r="L46" s="462">
        <v>43</v>
      </c>
    </row>
    <row r="47" spans="1:12" ht="12.75">
      <c r="A47" s="463">
        <v>40</v>
      </c>
      <c r="B47" s="462">
        <v>100</v>
      </c>
      <c r="C47" s="462">
        <v>83</v>
      </c>
      <c r="D47" s="462">
        <v>74</v>
      </c>
      <c r="E47" s="462">
        <v>69</v>
      </c>
      <c r="F47" s="462">
        <v>63</v>
      </c>
      <c r="G47" s="462">
        <v>61</v>
      </c>
      <c r="H47" s="462">
        <v>58</v>
      </c>
      <c r="I47" s="462">
        <v>53</v>
      </c>
      <c r="J47" s="462">
        <v>52</v>
      </c>
      <c r="K47" s="462">
        <v>49</v>
      </c>
      <c r="L47" s="462">
        <v>46</v>
      </c>
    </row>
    <row r="48" spans="1:12" ht="12.75">
      <c r="A48" s="463">
        <v>45</v>
      </c>
      <c r="B48" s="462">
        <v>105</v>
      </c>
      <c r="C48" s="462">
        <v>87</v>
      </c>
      <c r="D48" s="462">
        <v>78</v>
      </c>
      <c r="E48" s="462">
        <v>76</v>
      </c>
      <c r="F48" s="462">
        <v>68</v>
      </c>
      <c r="G48" s="462">
        <v>66</v>
      </c>
      <c r="H48" s="462">
        <v>64</v>
      </c>
      <c r="I48" s="462">
        <v>59</v>
      </c>
      <c r="J48" s="462">
        <v>56</v>
      </c>
      <c r="K48" s="462">
        <v>53</v>
      </c>
      <c r="L48" s="462">
        <v>50</v>
      </c>
    </row>
    <row r="49" spans="1:12" ht="12.75">
      <c r="A49" s="463">
        <v>50</v>
      </c>
      <c r="B49" s="462">
        <v>110</v>
      </c>
      <c r="C49" s="462">
        <v>92</v>
      </c>
      <c r="D49" s="462">
        <v>82</v>
      </c>
      <c r="E49" s="462">
        <v>81</v>
      </c>
      <c r="F49" s="462">
        <v>74</v>
      </c>
      <c r="G49" s="462">
        <v>72</v>
      </c>
      <c r="H49" s="462">
        <v>68</v>
      </c>
      <c r="I49" s="462">
        <v>64</v>
      </c>
      <c r="J49" s="462">
        <v>60</v>
      </c>
      <c r="K49" s="462">
        <v>57</v>
      </c>
      <c r="L49" s="462">
        <v>53</v>
      </c>
    </row>
    <row r="50" spans="1:12" ht="12.75">
      <c r="A50" s="463">
        <v>55</v>
      </c>
      <c r="B50" s="462">
        <v>116</v>
      </c>
      <c r="C50" s="462">
        <v>96</v>
      </c>
      <c r="D50" s="462">
        <v>86</v>
      </c>
      <c r="E50" s="462">
        <v>85</v>
      </c>
      <c r="F50" s="462">
        <v>77</v>
      </c>
      <c r="G50" s="462">
        <v>75</v>
      </c>
      <c r="H50" s="462">
        <v>73</v>
      </c>
      <c r="I50" s="462">
        <v>68</v>
      </c>
      <c r="J50" s="462">
        <v>62</v>
      </c>
      <c r="K50" s="462">
        <v>59</v>
      </c>
      <c r="L50" s="462">
        <v>57</v>
      </c>
    </row>
    <row r="51" spans="1:12" ht="12.75">
      <c r="A51" s="463">
        <v>60</v>
      </c>
      <c r="B51" s="462">
        <v>122</v>
      </c>
      <c r="C51" s="462">
        <v>102</v>
      </c>
      <c r="D51" s="462">
        <v>91</v>
      </c>
      <c r="E51" s="462">
        <v>89</v>
      </c>
      <c r="F51" s="462">
        <v>82</v>
      </c>
      <c r="G51" s="462">
        <v>80</v>
      </c>
      <c r="H51" s="462">
        <v>77</v>
      </c>
      <c r="I51" s="462">
        <v>72</v>
      </c>
      <c r="J51" s="462">
        <v>66</v>
      </c>
      <c r="K51" s="462">
        <v>64</v>
      </c>
      <c r="L51" s="462">
        <v>61</v>
      </c>
    </row>
    <row r="52" spans="1:12" ht="12.75">
      <c r="A52" s="463">
        <v>65</v>
      </c>
      <c r="B52" s="462">
        <v>128</v>
      </c>
      <c r="C52" s="462">
        <v>106</v>
      </c>
      <c r="D52" s="462">
        <v>94</v>
      </c>
      <c r="E52" s="462">
        <v>91</v>
      </c>
      <c r="F52" s="462">
        <v>85</v>
      </c>
      <c r="G52" s="462">
        <v>83</v>
      </c>
      <c r="H52" s="462">
        <v>81</v>
      </c>
      <c r="I52" s="462">
        <v>77</v>
      </c>
      <c r="J52" s="462">
        <v>70</v>
      </c>
      <c r="K52" s="462">
        <v>66</v>
      </c>
      <c r="L52" s="462">
        <v>64</v>
      </c>
    </row>
    <row r="53" spans="1:12" ht="12.75">
      <c r="A53" s="463">
        <v>70</v>
      </c>
      <c r="B53" s="462">
        <v>130</v>
      </c>
      <c r="C53" s="462">
        <v>108</v>
      </c>
      <c r="D53" s="462">
        <v>96</v>
      </c>
      <c r="E53" s="462">
        <v>93</v>
      </c>
      <c r="F53" s="462">
        <v>87</v>
      </c>
      <c r="G53" s="462">
        <v>85</v>
      </c>
      <c r="H53" s="462">
        <v>84</v>
      </c>
      <c r="I53" s="462">
        <v>79</v>
      </c>
      <c r="J53" s="462">
        <v>72</v>
      </c>
      <c r="K53" s="462">
        <v>69</v>
      </c>
      <c r="L53" s="462">
        <v>67</v>
      </c>
    </row>
    <row r="54" spans="1:12" ht="12.75">
      <c r="A54" s="463">
        <v>75</v>
      </c>
      <c r="B54" s="462">
        <v>136</v>
      </c>
      <c r="C54" s="462">
        <v>114</v>
      </c>
      <c r="D54" s="462">
        <v>101</v>
      </c>
      <c r="E54" s="462">
        <v>98</v>
      </c>
      <c r="F54" s="462">
        <v>92</v>
      </c>
      <c r="G54" s="462">
        <v>90</v>
      </c>
      <c r="H54" s="462">
        <v>87</v>
      </c>
      <c r="I54" s="462">
        <v>82</v>
      </c>
      <c r="J54" s="462">
        <v>74</v>
      </c>
      <c r="K54" s="462">
        <v>70</v>
      </c>
      <c r="L54" s="462">
        <v>68</v>
      </c>
    </row>
    <row r="55" spans="1:12" ht="12.75">
      <c r="A55" s="463">
        <v>80</v>
      </c>
      <c r="B55" s="462">
        <v>140</v>
      </c>
      <c r="C55" s="462">
        <v>117</v>
      </c>
      <c r="D55" s="462">
        <v>104</v>
      </c>
      <c r="E55" s="462">
        <v>102</v>
      </c>
      <c r="F55" s="462">
        <v>96</v>
      </c>
      <c r="G55" s="462">
        <v>94</v>
      </c>
      <c r="H55" s="462">
        <v>89</v>
      </c>
      <c r="I55" s="462">
        <v>85</v>
      </c>
      <c r="J55" s="462">
        <v>76</v>
      </c>
      <c r="K55" s="462">
        <v>73</v>
      </c>
      <c r="L55" s="462">
        <v>70</v>
      </c>
    </row>
    <row r="56" spans="1:12" ht="12.75">
      <c r="A56" s="463">
        <v>85</v>
      </c>
      <c r="B56" s="462">
        <v>146</v>
      </c>
      <c r="C56" s="462">
        <v>122</v>
      </c>
      <c r="D56" s="462">
        <v>108</v>
      </c>
      <c r="E56" s="462">
        <v>106</v>
      </c>
      <c r="F56" s="462">
        <v>100</v>
      </c>
      <c r="G56" s="462">
        <v>98</v>
      </c>
      <c r="H56" s="462">
        <v>93</v>
      </c>
      <c r="I56" s="462">
        <v>88</v>
      </c>
      <c r="J56" s="462">
        <v>80</v>
      </c>
      <c r="K56" s="462">
        <v>77</v>
      </c>
      <c r="L56" s="462">
        <v>74</v>
      </c>
    </row>
    <row r="57" spans="1:12" ht="12.75">
      <c r="A57" s="463">
        <v>90</v>
      </c>
      <c r="B57" s="462">
        <v>151</v>
      </c>
      <c r="C57" s="462">
        <v>126</v>
      </c>
      <c r="D57" s="462">
        <v>111</v>
      </c>
      <c r="E57" s="462">
        <v>109</v>
      </c>
      <c r="F57" s="462">
        <v>103</v>
      </c>
      <c r="G57" s="462">
        <v>101</v>
      </c>
      <c r="H57" s="462">
        <v>95</v>
      </c>
      <c r="I57" s="462">
        <v>92</v>
      </c>
      <c r="J57" s="462">
        <v>83</v>
      </c>
      <c r="K57" s="462">
        <v>80</v>
      </c>
      <c r="L57" s="462">
        <v>76</v>
      </c>
    </row>
    <row r="58" spans="1:12" ht="12.75">
      <c r="A58" s="463">
        <v>95</v>
      </c>
      <c r="B58" s="462">
        <v>155</v>
      </c>
      <c r="C58" s="462">
        <v>129</v>
      </c>
      <c r="D58" s="462">
        <v>114</v>
      </c>
      <c r="E58" s="462">
        <v>112</v>
      </c>
      <c r="F58" s="462">
        <v>106</v>
      </c>
      <c r="G58" s="462">
        <v>104</v>
      </c>
      <c r="H58" s="462">
        <v>99</v>
      </c>
      <c r="I58" s="462">
        <v>95</v>
      </c>
      <c r="J58" s="462">
        <v>86</v>
      </c>
      <c r="K58" s="462">
        <v>82</v>
      </c>
      <c r="L58" s="462">
        <v>78</v>
      </c>
    </row>
    <row r="59" spans="1:12" ht="12.75">
      <c r="A59" s="463">
        <v>100</v>
      </c>
      <c r="B59" s="462">
        <v>160</v>
      </c>
      <c r="C59" s="462">
        <v>133</v>
      </c>
      <c r="D59" s="462">
        <v>118</v>
      </c>
      <c r="E59" s="462">
        <v>116</v>
      </c>
      <c r="F59" s="462">
        <v>110</v>
      </c>
      <c r="G59" s="462">
        <v>108</v>
      </c>
      <c r="H59" s="462">
        <v>103</v>
      </c>
      <c r="I59" s="462">
        <v>97</v>
      </c>
      <c r="J59" s="462">
        <v>87</v>
      </c>
      <c r="K59" s="462">
        <v>83</v>
      </c>
      <c r="L59" s="462">
        <v>79</v>
      </c>
    </row>
    <row r="60" spans="1:12" ht="12.75">
      <c r="A60" s="463">
        <v>105</v>
      </c>
      <c r="B60" s="462">
        <v>165</v>
      </c>
      <c r="C60" s="462">
        <v>138</v>
      </c>
      <c r="D60" s="462">
        <v>122</v>
      </c>
      <c r="E60" s="462">
        <v>119</v>
      </c>
      <c r="F60" s="462">
        <v>113</v>
      </c>
      <c r="G60" s="462">
        <v>110</v>
      </c>
      <c r="H60" s="462">
        <v>107</v>
      </c>
      <c r="I60" s="462">
        <v>101</v>
      </c>
      <c r="J60" s="462">
        <v>91</v>
      </c>
      <c r="K60" s="462">
        <v>87</v>
      </c>
      <c r="L60" s="462">
        <v>83</v>
      </c>
    </row>
    <row r="61" spans="1:12" ht="12.75">
      <c r="A61" s="463">
        <v>110</v>
      </c>
      <c r="B61" s="462">
        <v>167</v>
      </c>
      <c r="C61" s="462">
        <v>139</v>
      </c>
      <c r="D61" s="462">
        <v>124</v>
      </c>
      <c r="E61" s="462">
        <v>121</v>
      </c>
      <c r="F61" s="462">
        <v>115</v>
      </c>
      <c r="G61" s="462">
        <v>112</v>
      </c>
      <c r="H61" s="462">
        <v>109</v>
      </c>
      <c r="I61" s="462">
        <v>104</v>
      </c>
      <c r="J61" s="462">
        <v>94</v>
      </c>
      <c r="K61" s="462">
        <v>90</v>
      </c>
      <c r="L61" s="462">
        <v>87</v>
      </c>
    </row>
    <row r="62" spans="1:12" ht="12.75">
      <c r="A62" s="463">
        <v>115</v>
      </c>
      <c r="B62" s="462">
        <v>174</v>
      </c>
      <c r="C62" s="462">
        <v>145</v>
      </c>
      <c r="D62" s="462">
        <v>128</v>
      </c>
      <c r="E62" s="462">
        <v>126</v>
      </c>
      <c r="F62" s="462">
        <v>120</v>
      </c>
      <c r="G62" s="462">
        <v>118</v>
      </c>
      <c r="H62" s="462">
        <v>112</v>
      </c>
      <c r="I62" s="462">
        <v>106</v>
      </c>
      <c r="J62" s="462">
        <v>97</v>
      </c>
      <c r="K62" s="462">
        <v>93</v>
      </c>
      <c r="L62" s="462">
        <v>89</v>
      </c>
    </row>
    <row r="63" spans="1:12" ht="12.75">
      <c r="A63" s="463">
        <v>120</v>
      </c>
      <c r="B63" s="462">
        <v>178</v>
      </c>
      <c r="C63" s="462">
        <v>149</v>
      </c>
      <c r="D63" s="462">
        <v>131</v>
      </c>
      <c r="E63" s="462">
        <v>129</v>
      </c>
      <c r="F63" s="462">
        <v>123</v>
      </c>
      <c r="G63" s="462">
        <v>120</v>
      </c>
      <c r="H63" s="462">
        <v>116</v>
      </c>
      <c r="I63" s="462">
        <v>109</v>
      </c>
      <c r="J63" s="462">
        <v>100</v>
      </c>
      <c r="K63" s="462">
        <v>95</v>
      </c>
      <c r="L63" s="462">
        <v>91</v>
      </c>
    </row>
    <row r="64" spans="1:12" ht="12.75">
      <c r="A64" s="463">
        <v>125</v>
      </c>
      <c r="B64" s="462">
        <v>183</v>
      </c>
      <c r="C64" s="462">
        <v>152</v>
      </c>
      <c r="D64" s="462">
        <v>134</v>
      </c>
      <c r="E64" s="462">
        <v>132</v>
      </c>
      <c r="F64" s="462">
        <v>126</v>
      </c>
      <c r="G64" s="462">
        <v>123</v>
      </c>
      <c r="H64" s="462">
        <v>119</v>
      </c>
      <c r="I64" s="462">
        <v>112</v>
      </c>
      <c r="J64" s="462">
        <v>102</v>
      </c>
      <c r="K64" s="462">
        <v>98</v>
      </c>
      <c r="L64" s="462">
        <v>94</v>
      </c>
    </row>
    <row r="65" spans="1:12" ht="12.75">
      <c r="A65" s="463">
        <v>130</v>
      </c>
      <c r="B65" s="462">
        <v>186</v>
      </c>
      <c r="C65" s="462">
        <v>155</v>
      </c>
      <c r="D65" s="462">
        <v>137</v>
      </c>
      <c r="E65" s="462">
        <v>135</v>
      </c>
      <c r="F65" s="462">
        <v>129</v>
      </c>
      <c r="G65" s="462">
        <v>125</v>
      </c>
      <c r="H65" s="462">
        <v>122</v>
      </c>
      <c r="I65" s="462">
        <v>115</v>
      </c>
      <c r="J65" s="462">
        <v>106</v>
      </c>
      <c r="K65" s="462">
        <v>102</v>
      </c>
      <c r="L65" s="462">
        <v>99</v>
      </c>
    </row>
    <row r="66" spans="1:12" ht="12.75">
      <c r="A66" s="463">
        <v>135</v>
      </c>
      <c r="B66" s="462">
        <v>190</v>
      </c>
      <c r="C66" s="462">
        <v>159</v>
      </c>
      <c r="D66" s="462">
        <v>140</v>
      </c>
      <c r="E66" s="462">
        <v>138</v>
      </c>
      <c r="F66" s="462">
        <v>132</v>
      </c>
      <c r="G66" s="462">
        <v>129</v>
      </c>
      <c r="H66" s="462">
        <v>125</v>
      </c>
      <c r="I66" s="462">
        <v>118</v>
      </c>
      <c r="J66" s="462">
        <v>108</v>
      </c>
      <c r="K66" s="462">
        <v>104</v>
      </c>
      <c r="L66" s="462">
        <v>101</v>
      </c>
    </row>
    <row r="67" spans="1:12" ht="12.75">
      <c r="A67" s="463">
        <v>140</v>
      </c>
      <c r="B67" s="462">
        <v>196</v>
      </c>
      <c r="C67" s="462">
        <v>163</v>
      </c>
      <c r="D67" s="462">
        <v>143</v>
      </c>
      <c r="E67" s="462">
        <v>141</v>
      </c>
      <c r="F67" s="462">
        <v>136</v>
      </c>
      <c r="G67" s="462">
        <v>133</v>
      </c>
      <c r="H67" s="462">
        <v>129</v>
      </c>
      <c r="I67" s="462">
        <v>121</v>
      </c>
      <c r="J67" s="462">
        <v>111</v>
      </c>
      <c r="K67" s="462">
        <v>106</v>
      </c>
      <c r="L67" s="462">
        <v>103</v>
      </c>
    </row>
    <row r="68" spans="1:12" ht="12.75">
      <c r="A68" s="463">
        <v>145</v>
      </c>
      <c r="B68" s="462">
        <v>199</v>
      </c>
      <c r="C68" s="462">
        <v>166</v>
      </c>
      <c r="D68" s="462">
        <v>146</v>
      </c>
      <c r="E68" s="462">
        <v>144</v>
      </c>
      <c r="F68" s="462">
        <v>139</v>
      </c>
      <c r="G68" s="462">
        <v>136</v>
      </c>
      <c r="H68" s="462">
        <v>132</v>
      </c>
      <c r="I68" s="462">
        <v>124</v>
      </c>
      <c r="J68" s="462">
        <v>113</v>
      </c>
      <c r="K68" s="462">
        <v>109</v>
      </c>
      <c r="L68" s="462">
        <v>105</v>
      </c>
    </row>
    <row r="69" spans="1:12" ht="12.75">
      <c r="A69" s="463">
        <v>150</v>
      </c>
      <c r="B69" s="462">
        <v>205</v>
      </c>
      <c r="C69" s="462">
        <v>171</v>
      </c>
      <c r="D69" s="462">
        <v>150</v>
      </c>
      <c r="E69" s="462">
        <v>148</v>
      </c>
      <c r="F69" s="462">
        <v>143</v>
      </c>
      <c r="G69" s="462">
        <v>139</v>
      </c>
      <c r="H69" s="462">
        <v>135</v>
      </c>
      <c r="I69" s="462">
        <v>126</v>
      </c>
      <c r="J69" s="462">
        <v>116</v>
      </c>
      <c r="K69" s="462">
        <v>111</v>
      </c>
      <c r="L69" s="462">
        <v>107</v>
      </c>
    </row>
    <row r="70" spans="1:12" ht="12.75">
      <c r="A70" s="463">
        <v>155</v>
      </c>
      <c r="B70" s="462">
        <v>209</v>
      </c>
      <c r="C70" s="462">
        <v>174</v>
      </c>
      <c r="D70" s="462">
        <v>153</v>
      </c>
      <c r="E70" s="462">
        <v>151</v>
      </c>
      <c r="F70" s="462">
        <v>146</v>
      </c>
      <c r="G70" s="462">
        <v>142</v>
      </c>
      <c r="H70" s="462">
        <v>139</v>
      </c>
      <c r="I70" s="462">
        <v>130</v>
      </c>
      <c r="J70" s="462">
        <v>118</v>
      </c>
      <c r="K70" s="462">
        <v>113</v>
      </c>
      <c r="L70" s="462">
        <v>109</v>
      </c>
    </row>
    <row r="71" spans="1:12" ht="12.75">
      <c r="A71" s="463">
        <v>160</v>
      </c>
      <c r="B71" s="462">
        <v>211</v>
      </c>
      <c r="C71" s="462">
        <v>176</v>
      </c>
      <c r="D71" s="462">
        <v>155</v>
      </c>
      <c r="E71" s="462">
        <v>153</v>
      </c>
      <c r="F71" s="462">
        <v>149</v>
      </c>
      <c r="G71" s="462">
        <v>145</v>
      </c>
      <c r="H71" s="462">
        <v>141</v>
      </c>
      <c r="I71" s="462">
        <v>132</v>
      </c>
      <c r="J71" s="462">
        <v>121</v>
      </c>
      <c r="K71" s="462">
        <v>115</v>
      </c>
      <c r="L71" s="462">
        <v>111</v>
      </c>
    </row>
    <row r="72" spans="1:12" ht="12.75">
      <c r="A72" s="463">
        <v>165</v>
      </c>
      <c r="B72" s="462">
        <v>213</v>
      </c>
      <c r="C72" s="462">
        <v>178</v>
      </c>
      <c r="D72" s="462">
        <v>157</v>
      </c>
      <c r="E72" s="462">
        <v>155</v>
      </c>
      <c r="F72" s="462">
        <v>151</v>
      </c>
      <c r="G72" s="462">
        <v>147</v>
      </c>
      <c r="H72" s="462">
        <v>143</v>
      </c>
      <c r="I72" s="462">
        <v>134</v>
      </c>
      <c r="J72" s="462">
        <v>123</v>
      </c>
      <c r="K72" s="462">
        <v>117</v>
      </c>
      <c r="L72" s="462">
        <v>113</v>
      </c>
    </row>
    <row r="73" spans="1:12" ht="12.75">
      <c r="A73" s="463">
        <v>170</v>
      </c>
      <c r="B73" s="462">
        <v>217</v>
      </c>
      <c r="C73" s="462">
        <v>181</v>
      </c>
      <c r="D73" s="462">
        <v>158</v>
      </c>
      <c r="E73" s="462">
        <v>156</v>
      </c>
      <c r="F73" s="462">
        <v>153</v>
      </c>
      <c r="G73" s="462">
        <v>149</v>
      </c>
      <c r="H73" s="462">
        <v>145</v>
      </c>
      <c r="I73" s="462">
        <v>135</v>
      </c>
      <c r="J73" s="462">
        <v>125</v>
      </c>
      <c r="K73" s="462">
        <v>120</v>
      </c>
      <c r="L73" s="462">
        <v>115</v>
      </c>
    </row>
    <row r="74" spans="1:12" ht="12.75">
      <c r="A74" s="463">
        <v>175</v>
      </c>
      <c r="B74" s="462">
        <v>219</v>
      </c>
      <c r="C74" s="462">
        <v>182</v>
      </c>
      <c r="D74" s="462">
        <v>160</v>
      </c>
      <c r="E74" s="462">
        <v>158</v>
      </c>
      <c r="F74" s="462">
        <v>154</v>
      </c>
      <c r="G74" s="462">
        <v>150</v>
      </c>
      <c r="H74" s="462">
        <v>147</v>
      </c>
      <c r="I74" s="462">
        <v>137</v>
      </c>
      <c r="J74" s="462">
        <v>127</v>
      </c>
      <c r="K74" s="462">
        <v>122</v>
      </c>
      <c r="L74" s="462">
        <v>117</v>
      </c>
    </row>
    <row r="75" spans="1:12" ht="12.75">
      <c r="A75" s="463">
        <v>180</v>
      </c>
      <c r="B75" s="462">
        <v>221</v>
      </c>
      <c r="C75" s="462">
        <v>185</v>
      </c>
      <c r="D75" s="462">
        <v>162</v>
      </c>
      <c r="E75" s="462">
        <v>160</v>
      </c>
      <c r="F75" s="462">
        <v>157</v>
      </c>
      <c r="G75" s="462">
        <v>153</v>
      </c>
      <c r="H75" s="462">
        <v>149</v>
      </c>
      <c r="I75" s="462">
        <v>139</v>
      </c>
      <c r="J75" s="462">
        <v>129</v>
      </c>
      <c r="K75" s="462">
        <v>124</v>
      </c>
      <c r="L75" s="462">
        <v>119</v>
      </c>
    </row>
    <row r="76" spans="1:12" ht="12.75">
      <c r="A76" s="463">
        <v>185</v>
      </c>
      <c r="B76" s="462">
        <v>223</v>
      </c>
      <c r="C76" s="462">
        <v>187</v>
      </c>
      <c r="D76" s="462">
        <v>165</v>
      </c>
      <c r="E76" s="462">
        <v>163</v>
      </c>
      <c r="F76" s="462">
        <v>159</v>
      </c>
      <c r="G76" s="462">
        <v>155</v>
      </c>
      <c r="H76" s="462">
        <v>151</v>
      </c>
      <c r="I76" s="462">
        <v>142</v>
      </c>
      <c r="J76" s="462">
        <v>131</v>
      </c>
      <c r="K76" s="462">
        <v>126</v>
      </c>
      <c r="L76" s="462">
        <v>121</v>
      </c>
    </row>
    <row r="77" spans="1:12" ht="12.75">
      <c r="A77" s="463">
        <v>190</v>
      </c>
      <c r="B77" s="462">
        <v>226</v>
      </c>
      <c r="C77" s="462">
        <v>189</v>
      </c>
      <c r="D77" s="462">
        <v>167</v>
      </c>
      <c r="E77" s="462">
        <v>165</v>
      </c>
      <c r="F77" s="462">
        <v>161</v>
      </c>
      <c r="G77" s="462">
        <v>157</v>
      </c>
      <c r="H77" s="462">
        <v>154</v>
      </c>
      <c r="I77" s="462">
        <v>144</v>
      </c>
      <c r="J77" s="462">
        <v>134</v>
      </c>
      <c r="K77" s="462">
        <v>128</v>
      </c>
      <c r="L77" s="462">
        <v>124</v>
      </c>
    </row>
    <row r="78" spans="1:12" ht="12.75">
      <c r="A78" s="463">
        <v>195</v>
      </c>
      <c r="B78" s="462">
        <v>228</v>
      </c>
      <c r="C78" s="462">
        <v>191</v>
      </c>
      <c r="D78" s="462">
        <v>169</v>
      </c>
      <c r="E78" s="462">
        <v>167</v>
      </c>
      <c r="F78" s="462">
        <v>163</v>
      </c>
      <c r="G78" s="462">
        <v>160</v>
      </c>
      <c r="H78" s="462">
        <v>156</v>
      </c>
      <c r="I78" s="462">
        <v>146</v>
      </c>
      <c r="J78" s="462">
        <v>136</v>
      </c>
      <c r="K78" s="462">
        <v>130</v>
      </c>
      <c r="L78" s="462">
        <v>126</v>
      </c>
    </row>
    <row r="79" spans="1:12" ht="12.75">
      <c r="A79" s="463">
        <v>200</v>
      </c>
      <c r="B79" s="462">
        <v>230</v>
      </c>
      <c r="C79" s="462">
        <v>193</v>
      </c>
      <c r="D79" s="462">
        <v>171</v>
      </c>
      <c r="E79" s="462">
        <v>169</v>
      </c>
      <c r="F79" s="462">
        <v>165</v>
      </c>
      <c r="G79" s="462">
        <v>161</v>
      </c>
      <c r="H79" s="462">
        <v>158</v>
      </c>
      <c r="I79" s="462">
        <v>148</v>
      </c>
      <c r="J79" s="462">
        <v>138</v>
      </c>
      <c r="K79" s="462">
        <v>133</v>
      </c>
      <c r="L79" s="462">
        <v>128</v>
      </c>
    </row>
    <row r="80" spans="1:12" ht="13.5">
      <c r="A80" s="464"/>
      <c r="B80" s="462">
        <v>0</v>
      </c>
      <c r="C80" s="462">
        <v>0</v>
      </c>
      <c r="D80" s="462">
        <v>0</v>
      </c>
      <c r="E80" s="462">
        <v>0</v>
      </c>
      <c r="F80" s="462">
        <v>0</v>
      </c>
      <c r="G80" s="462">
        <v>0</v>
      </c>
      <c r="H80" s="462">
        <v>0</v>
      </c>
      <c r="I80" s="462">
        <v>0</v>
      </c>
      <c r="J80" s="462">
        <v>0</v>
      </c>
      <c r="K80" s="462">
        <v>0</v>
      </c>
      <c r="L80" s="462">
        <v>0</v>
      </c>
    </row>
    <row r="81" spans="1:12" ht="13.5">
      <c r="A81" s="466"/>
      <c r="B81" s="466"/>
      <c r="C81" s="466"/>
      <c r="D81" s="466"/>
      <c r="E81" s="466"/>
      <c r="F81" s="466"/>
      <c r="G81" s="466"/>
      <c r="H81" s="466"/>
      <c r="I81" s="466"/>
      <c r="J81" s="466"/>
      <c r="K81" s="466"/>
      <c r="L81" s="466"/>
    </row>
    <row r="82" spans="1:12" ht="15">
      <c r="A82" s="463" t="s">
        <v>198</v>
      </c>
      <c r="B82" s="467"/>
      <c r="C82" s="467"/>
      <c r="D82" s="467"/>
      <c r="E82" s="467"/>
      <c r="F82" s="467"/>
      <c r="G82" s="467"/>
      <c r="H82" s="467"/>
      <c r="I82" s="467"/>
      <c r="J82" s="467"/>
      <c r="K82" s="467"/>
      <c r="L82" s="467"/>
    </row>
    <row r="83" spans="1:12" ht="12.75">
      <c r="A83" s="462" t="s">
        <v>99</v>
      </c>
      <c r="B83" s="463">
        <v>5</v>
      </c>
      <c r="C83" s="463">
        <v>6</v>
      </c>
      <c r="D83" s="463">
        <v>7</v>
      </c>
      <c r="E83" s="463">
        <v>8</v>
      </c>
      <c r="F83" s="463">
        <v>9</v>
      </c>
      <c r="G83" s="463">
        <v>10</v>
      </c>
      <c r="H83" s="463">
        <v>11</v>
      </c>
      <c r="I83" s="463">
        <v>12</v>
      </c>
      <c r="J83" s="463">
        <v>13</v>
      </c>
      <c r="K83" s="463">
        <v>14</v>
      </c>
      <c r="L83" s="463">
        <v>15</v>
      </c>
    </row>
    <row r="84" spans="1:12" ht="12.75">
      <c r="A84" s="463">
        <v>20</v>
      </c>
      <c r="B84" s="462">
        <v>79</v>
      </c>
      <c r="C84" s="462">
        <v>66</v>
      </c>
      <c r="D84" s="462">
        <v>58</v>
      </c>
      <c r="E84" s="462">
        <v>51</v>
      </c>
      <c r="F84" s="462">
        <v>48</v>
      </c>
      <c r="G84" s="462">
        <v>47</v>
      </c>
      <c r="H84" s="462">
        <v>45</v>
      </c>
      <c r="I84" s="462">
        <v>42</v>
      </c>
      <c r="J84" s="462">
        <v>40</v>
      </c>
      <c r="K84" s="462">
        <v>39</v>
      </c>
      <c r="L84" s="462">
        <v>36</v>
      </c>
    </row>
    <row r="85" spans="1:12" ht="12.75">
      <c r="A85" s="463">
        <v>25</v>
      </c>
      <c r="B85" s="462">
        <v>90</v>
      </c>
      <c r="C85" s="462">
        <v>75</v>
      </c>
      <c r="D85" s="462">
        <v>66</v>
      </c>
      <c r="E85" s="462">
        <v>58</v>
      </c>
      <c r="F85" s="462">
        <v>54</v>
      </c>
      <c r="G85" s="462">
        <v>52</v>
      </c>
      <c r="H85" s="462">
        <v>50</v>
      </c>
      <c r="I85" s="462">
        <v>46</v>
      </c>
      <c r="J85" s="462">
        <v>45</v>
      </c>
      <c r="K85" s="462">
        <v>43</v>
      </c>
      <c r="L85" s="462">
        <v>40</v>
      </c>
    </row>
    <row r="86" spans="1:12" ht="12.75">
      <c r="A86" s="463">
        <v>30</v>
      </c>
      <c r="B86" s="462">
        <v>97</v>
      </c>
      <c r="C86" s="462">
        <v>81</v>
      </c>
      <c r="D86" s="462">
        <v>73</v>
      </c>
      <c r="E86" s="462">
        <v>66</v>
      </c>
      <c r="F86" s="462">
        <v>61</v>
      </c>
      <c r="G86" s="462">
        <v>59</v>
      </c>
      <c r="H86" s="462">
        <v>56</v>
      </c>
      <c r="I86" s="462">
        <v>51</v>
      </c>
      <c r="J86" s="462">
        <v>50</v>
      </c>
      <c r="K86" s="462">
        <v>47</v>
      </c>
      <c r="L86" s="462">
        <v>45</v>
      </c>
    </row>
    <row r="87" spans="1:12" ht="12.75">
      <c r="A87" s="463">
        <v>35</v>
      </c>
      <c r="B87" s="462">
        <v>103</v>
      </c>
      <c r="C87" s="462">
        <v>86</v>
      </c>
      <c r="D87" s="462">
        <v>77</v>
      </c>
      <c r="E87" s="462">
        <v>74</v>
      </c>
      <c r="F87" s="462">
        <v>68</v>
      </c>
      <c r="G87" s="462">
        <v>66</v>
      </c>
      <c r="H87" s="462">
        <v>62</v>
      </c>
      <c r="I87" s="462">
        <v>58</v>
      </c>
      <c r="J87" s="462">
        <v>55</v>
      </c>
      <c r="K87" s="462">
        <v>52</v>
      </c>
      <c r="L87" s="462">
        <v>49</v>
      </c>
    </row>
    <row r="88" spans="1:12" ht="12.75">
      <c r="A88" s="463">
        <v>40</v>
      </c>
      <c r="B88" s="462">
        <v>110</v>
      </c>
      <c r="C88" s="462">
        <v>92</v>
      </c>
      <c r="D88" s="462">
        <v>82</v>
      </c>
      <c r="E88" s="462">
        <v>80</v>
      </c>
      <c r="F88" s="462">
        <v>75</v>
      </c>
      <c r="G88" s="462">
        <v>72</v>
      </c>
      <c r="H88" s="462">
        <v>68</v>
      </c>
      <c r="I88" s="462">
        <v>64</v>
      </c>
      <c r="J88" s="462">
        <v>60</v>
      </c>
      <c r="K88" s="462">
        <v>57</v>
      </c>
      <c r="L88" s="462">
        <v>53</v>
      </c>
    </row>
    <row r="89" spans="1:12" ht="12.75">
      <c r="A89" s="463">
        <v>45</v>
      </c>
      <c r="B89" s="462">
        <v>117</v>
      </c>
      <c r="C89" s="462">
        <v>98</v>
      </c>
      <c r="D89" s="462">
        <v>87</v>
      </c>
      <c r="E89" s="462">
        <v>85</v>
      </c>
      <c r="F89" s="462">
        <v>79</v>
      </c>
      <c r="G89" s="462">
        <v>77</v>
      </c>
      <c r="H89" s="462">
        <v>74</v>
      </c>
      <c r="I89" s="462">
        <v>69</v>
      </c>
      <c r="J89" s="462">
        <v>63</v>
      </c>
      <c r="K89" s="462">
        <v>61</v>
      </c>
      <c r="L89" s="462">
        <v>58</v>
      </c>
    </row>
    <row r="90" spans="1:12" ht="12.75">
      <c r="A90" s="463">
        <v>50</v>
      </c>
      <c r="B90" s="462">
        <v>125</v>
      </c>
      <c r="C90" s="462">
        <v>104</v>
      </c>
      <c r="D90" s="462">
        <v>92</v>
      </c>
      <c r="E90" s="462">
        <v>90</v>
      </c>
      <c r="F90" s="462">
        <v>84</v>
      </c>
      <c r="G90" s="462">
        <v>82</v>
      </c>
      <c r="H90" s="462">
        <v>79</v>
      </c>
      <c r="I90" s="462">
        <v>74</v>
      </c>
      <c r="J90" s="462">
        <v>68</v>
      </c>
      <c r="K90" s="462">
        <v>65</v>
      </c>
      <c r="L90" s="462">
        <v>62</v>
      </c>
    </row>
    <row r="91" spans="1:12" ht="12.75">
      <c r="A91" s="463">
        <v>55</v>
      </c>
      <c r="B91" s="462">
        <v>129</v>
      </c>
      <c r="C91" s="462">
        <v>108</v>
      </c>
      <c r="D91" s="462">
        <v>96</v>
      </c>
      <c r="E91" s="462">
        <v>93</v>
      </c>
      <c r="F91" s="462">
        <v>87</v>
      </c>
      <c r="G91" s="462">
        <v>85</v>
      </c>
      <c r="H91" s="462">
        <v>83</v>
      </c>
      <c r="I91" s="462">
        <v>78</v>
      </c>
      <c r="J91" s="462">
        <v>72</v>
      </c>
      <c r="K91" s="462">
        <v>69</v>
      </c>
      <c r="L91" s="462">
        <v>66</v>
      </c>
    </row>
    <row r="92" spans="1:12" ht="12.75">
      <c r="A92" s="463">
        <v>60</v>
      </c>
      <c r="B92" s="462">
        <v>136</v>
      </c>
      <c r="C92" s="462">
        <v>114</v>
      </c>
      <c r="D92" s="462">
        <v>101</v>
      </c>
      <c r="E92" s="462">
        <v>98</v>
      </c>
      <c r="F92" s="462">
        <v>92</v>
      </c>
      <c r="G92" s="462">
        <v>90</v>
      </c>
      <c r="H92" s="462">
        <v>87</v>
      </c>
      <c r="I92" s="462">
        <v>82</v>
      </c>
      <c r="J92" s="462">
        <v>74</v>
      </c>
      <c r="K92" s="462">
        <v>70</v>
      </c>
      <c r="L92" s="462">
        <v>68</v>
      </c>
    </row>
    <row r="93" spans="1:12" ht="12.75">
      <c r="A93" s="463">
        <v>65</v>
      </c>
      <c r="B93" s="462">
        <v>140</v>
      </c>
      <c r="C93" s="462">
        <v>116</v>
      </c>
      <c r="D93" s="462">
        <v>105</v>
      </c>
      <c r="E93" s="462">
        <v>102</v>
      </c>
      <c r="F93" s="462">
        <v>96</v>
      </c>
      <c r="G93" s="462">
        <v>94</v>
      </c>
      <c r="H93" s="462">
        <v>90</v>
      </c>
      <c r="I93" s="462">
        <v>85</v>
      </c>
      <c r="J93" s="462">
        <v>77</v>
      </c>
      <c r="K93" s="462">
        <v>74</v>
      </c>
      <c r="L93" s="462">
        <v>71</v>
      </c>
    </row>
    <row r="94" spans="1:12" ht="12.75">
      <c r="A94" s="463">
        <v>70</v>
      </c>
      <c r="B94" s="462">
        <v>149</v>
      </c>
      <c r="C94" s="462">
        <v>124</v>
      </c>
      <c r="D94" s="462">
        <v>110</v>
      </c>
      <c r="E94" s="462">
        <v>107</v>
      </c>
      <c r="F94" s="462">
        <v>101</v>
      </c>
      <c r="G94" s="462">
        <v>99</v>
      </c>
      <c r="H94" s="462">
        <v>94</v>
      </c>
      <c r="I94" s="462">
        <v>90</v>
      </c>
      <c r="J94" s="462">
        <v>82</v>
      </c>
      <c r="K94" s="462">
        <v>78</v>
      </c>
      <c r="L94" s="462">
        <v>75</v>
      </c>
    </row>
    <row r="95" spans="1:12" ht="12.75">
      <c r="A95" s="463">
        <v>75</v>
      </c>
      <c r="B95" s="462">
        <v>154</v>
      </c>
      <c r="C95" s="462">
        <v>128</v>
      </c>
      <c r="D95" s="462">
        <v>113</v>
      </c>
      <c r="E95" s="462">
        <v>111</v>
      </c>
      <c r="F95" s="462">
        <v>105</v>
      </c>
      <c r="G95" s="462">
        <v>103</v>
      </c>
      <c r="H95" s="462">
        <v>98</v>
      </c>
      <c r="I95" s="462">
        <v>94</v>
      </c>
      <c r="J95" s="462">
        <v>86</v>
      </c>
      <c r="K95" s="462">
        <v>81</v>
      </c>
      <c r="L95" s="462">
        <v>78</v>
      </c>
    </row>
    <row r="96" spans="1:12" ht="12.75">
      <c r="A96" s="463">
        <v>80</v>
      </c>
      <c r="B96" s="462">
        <v>160</v>
      </c>
      <c r="C96" s="462">
        <v>133</v>
      </c>
      <c r="D96" s="462">
        <v>118</v>
      </c>
      <c r="E96" s="462">
        <v>116</v>
      </c>
      <c r="F96" s="462">
        <v>110</v>
      </c>
      <c r="G96" s="462">
        <v>108</v>
      </c>
      <c r="H96" s="462">
        <v>103</v>
      </c>
      <c r="I96" s="462">
        <v>97</v>
      </c>
      <c r="J96" s="462">
        <v>87</v>
      </c>
      <c r="K96" s="462">
        <v>83</v>
      </c>
      <c r="L96" s="462">
        <v>79</v>
      </c>
    </row>
    <row r="97" spans="1:12" ht="12.75">
      <c r="A97" s="463">
        <v>85</v>
      </c>
      <c r="B97" s="462">
        <v>166</v>
      </c>
      <c r="C97" s="462">
        <v>138</v>
      </c>
      <c r="D97" s="462">
        <v>122</v>
      </c>
      <c r="E97" s="462">
        <v>120</v>
      </c>
      <c r="F97" s="462">
        <v>114</v>
      </c>
      <c r="G97" s="462">
        <v>112</v>
      </c>
      <c r="H97" s="462">
        <v>107</v>
      </c>
      <c r="I97" s="462">
        <v>102</v>
      </c>
      <c r="J97" s="462">
        <v>92</v>
      </c>
      <c r="K97" s="462">
        <v>88</v>
      </c>
      <c r="L97" s="462">
        <v>84</v>
      </c>
    </row>
    <row r="98" spans="1:12" ht="12.75">
      <c r="A98" s="463">
        <v>90</v>
      </c>
      <c r="B98" s="462">
        <v>171</v>
      </c>
      <c r="C98" s="462">
        <v>142</v>
      </c>
      <c r="D98" s="462">
        <v>126</v>
      </c>
      <c r="E98" s="462">
        <v>124</v>
      </c>
      <c r="F98" s="462">
        <v>118</v>
      </c>
      <c r="G98" s="462">
        <v>116</v>
      </c>
      <c r="H98" s="462">
        <v>111</v>
      </c>
      <c r="I98" s="462">
        <v>105</v>
      </c>
      <c r="J98" s="462">
        <v>96</v>
      </c>
      <c r="K98" s="462">
        <v>91</v>
      </c>
      <c r="L98" s="462">
        <v>88</v>
      </c>
    </row>
    <row r="99" spans="1:12" ht="12.75">
      <c r="A99" s="463">
        <v>95</v>
      </c>
      <c r="B99" s="462">
        <v>177</v>
      </c>
      <c r="C99" s="462">
        <v>148</v>
      </c>
      <c r="D99" s="462">
        <v>130</v>
      </c>
      <c r="E99" s="462">
        <v>128</v>
      </c>
      <c r="F99" s="462">
        <v>122</v>
      </c>
      <c r="G99" s="462">
        <v>120</v>
      </c>
      <c r="H99" s="462">
        <v>115</v>
      </c>
      <c r="I99" s="462">
        <v>108</v>
      </c>
      <c r="J99" s="462">
        <v>99</v>
      </c>
      <c r="K99" s="462">
        <v>94</v>
      </c>
      <c r="L99" s="462">
        <v>91</v>
      </c>
    </row>
    <row r="100" spans="1:12" ht="12.75">
      <c r="A100" s="463">
        <v>100</v>
      </c>
      <c r="B100" s="462">
        <v>183</v>
      </c>
      <c r="C100" s="462">
        <v>152</v>
      </c>
      <c r="D100" s="462">
        <v>134</v>
      </c>
      <c r="E100" s="462">
        <v>132</v>
      </c>
      <c r="F100" s="462">
        <v>126</v>
      </c>
      <c r="G100" s="462">
        <v>124</v>
      </c>
      <c r="H100" s="462">
        <v>119</v>
      </c>
      <c r="I100" s="462">
        <v>112</v>
      </c>
      <c r="J100" s="462">
        <v>102</v>
      </c>
      <c r="K100" s="462">
        <v>98</v>
      </c>
      <c r="L100" s="462">
        <v>94</v>
      </c>
    </row>
    <row r="101" spans="1:12" ht="12.75">
      <c r="A101" s="463">
        <v>105</v>
      </c>
      <c r="B101" s="462">
        <v>187</v>
      </c>
      <c r="C101" s="462">
        <v>156</v>
      </c>
      <c r="D101" s="462">
        <v>137</v>
      </c>
      <c r="E101" s="462">
        <v>135</v>
      </c>
      <c r="F101" s="462">
        <v>130</v>
      </c>
      <c r="G101" s="462">
        <v>128</v>
      </c>
      <c r="H101" s="462">
        <v>123</v>
      </c>
      <c r="I101" s="462">
        <v>116</v>
      </c>
      <c r="J101" s="462">
        <v>106</v>
      </c>
      <c r="K101" s="462">
        <v>103</v>
      </c>
      <c r="L101" s="462">
        <v>99</v>
      </c>
    </row>
    <row r="102" spans="1:12" ht="12.75">
      <c r="A102" s="463">
        <v>110</v>
      </c>
      <c r="B102" s="462">
        <v>193</v>
      </c>
      <c r="C102" s="462">
        <v>161</v>
      </c>
      <c r="D102" s="462">
        <v>141</v>
      </c>
      <c r="E102" s="462">
        <v>139</v>
      </c>
      <c r="F102" s="462">
        <v>135</v>
      </c>
      <c r="G102" s="462">
        <v>133</v>
      </c>
      <c r="H102" s="462">
        <v>127</v>
      </c>
      <c r="I102" s="462">
        <v>119</v>
      </c>
      <c r="J102" s="462">
        <v>109</v>
      </c>
      <c r="K102" s="462">
        <v>105</v>
      </c>
      <c r="L102" s="462">
        <v>102</v>
      </c>
    </row>
    <row r="103" spans="1:12" ht="12.75">
      <c r="A103" s="463">
        <v>115</v>
      </c>
      <c r="B103" s="462">
        <v>198</v>
      </c>
      <c r="C103" s="462">
        <v>165</v>
      </c>
      <c r="D103" s="462">
        <v>145</v>
      </c>
      <c r="E103" s="462">
        <v>143</v>
      </c>
      <c r="F103" s="462">
        <v>139</v>
      </c>
      <c r="G103" s="462">
        <v>137</v>
      </c>
      <c r="H103" s="462">
        <v>131</v>
      </c>
      <c r="I103" s="462">
        <v>123</v>
      </c>
      <c r="J103" s="462">
        <v>112</v>
      </c>
      <c r="K103" s="462">
        <v>109</v>
      </c>
      <c r="L103" s="462">
        <v>104</v>
      </c>
    </row>
    <row r="104" spans="1:12" ht="12.75">
      <c r="A104" s="463">
        <v>120</v>
      </c>
      <c r="B104" s="462">
        <v>205</v>
      </c>
      <c r="C104" s="462">
        <v>171</v>
      </c>
      <c r="D104" s="462">
        <v>150</v>
      </c>
      <c r="E104" s="462">
        <v>148</v>
      </c>
      <c r="F104" s="462">
        <v>144</v>
      </c>
      <c r="G104" s="462">
        <v>142</v>
      </c>
      <c r="H104" s="462">
        <v>135</v>
      </c>
      <c r="I104" s="462">
        <v>126</v>
      </c>
      <c r="J104" s="462">
        <v>116</v>
      </c>
      <c r="K104" s="462">
        <v>111</v>
      </c>
      <c r="L104" s="462">
        <v>107</v>
      </c>
    </row>
    <row r="105" spans="1:12" ht="12.75">
      <c r="A105" s="463">
        <v>125</v>
      </c>
      <c r="B105" s="462">
        <v>210</v>
      </c>
      <c r="C105" s="462">
        <v>175</v>
      </c>
      <c r="D105" s="462">
        <v>153</v>
      </c>
      <c r="E105" s="462">
        <v>151</v>
      </c>
      <c r="F105" s="462">
        <v>147</v>
      </c>
      <c r="G105" s="462">
        <v>145</v>
      </c>
      <c r="H105" s="462">
        <v>139</v>
      </c>
      <c r="I105" s="462">
        <v>131</v>
      </c>
      <c r="J105" s="462">
        <v>119</v>
      </c>
      <c r="K105" s="462">
        <v>114</v>
      </c>
      <c r="L105" s="462">
        <v>109</v>
      </c>
    </row>
    <row r="106" spans="1:12" ht="12.75">
      <c r="A106" s="463">
        <v>130</v>
      </c>
      <c r="B106" s="462">
        <v>212</v>
      </c>
      <c r="C106" s="462">
        <v>177</v>
      </c>
      <c r="D106" s="462">
        <v>156</v>
      </c>
      <c r="E106" s="462">
        <v>154</v>
      </c>
      <c r="F106" s="462">
        <v>150</v>
      </c>
      <c r="G106" s="462">
        <v>148</v>
      </c>
      <c r="H106" s="462">
        <v>142</v>
      </c>
      <c r="I106" s="462">
        <v>133</v>
      </c>
      <c r="J106" s="462">
        <v>122</v>
      </c>
      <c r="K106" s="462">
        <v>116</v>
      </c>
      <c r="L106" s="462">
        <v>112</v>
      </c>
    </row>
    <row r="107" spans="1:12" ht="12.75">
      <c r="A107" s="463">
        <v>135</v>
      </c>
      <c r="B107" s="462">
        <v>216</v>
      </c>
      <c r="C107" s="462">
        <v>180</v>
      </c>
      <c r="D107" s="462">
        <v>158</v>
      </c>
      <c r="E107" s="462">
        <v>156</v>
      </c>
      <c r="F107" s="462">
        <v>153</v>
      </c>
      <c r="G107" s="462">
        <v>151</v>
      </c>
      <c r="H107" s="462">
        <v>145</v>
      </c>
      <c r="I107" s="462">
        <v>135</v>
      </c>
      <c r="J107" s="462">
        <v>124</v>
      </c>
      <c r="K107" s="462">
        <v>119</v>
      </c>
      <c r="L107" s="462">
        <v>114</v>
      </c>
    </row>
    <row r="108" spans="1:12" ht="12.75">
      <c r="A108" s="463">
        <v>140</v>
      </c>
      <c r="B108" s="462">
        <v>219</v>
      </c>
      <c r="C108" s="462">
        <v>182</v>
      </c>
      <c r="D108" s="462">
        <v>160</v>
      </c>
      <c r="E108" s="462">
        <v>158</v>
      </c>
      <c r="F108" s="462">
        <v>155</v>
      </c>
      <c r="G108" s="462">
        <v>153</v>
      </c>
      <c r="H108" s="462">
        <v>147</v>
      </c>
      <c r="I108" s="462">
        <v>137</v>
      </c>
      <c r="J108" s="462">
        <v>127</v>
      </c>
      <c r="K108" s="462">
        <v>122</v>
      </c>
      <c r="L108" s="462">
        <v>117</v>
      </c>
    </row>
    <row r="109" spans="1:12" ht="12.75">
      <c r="A109" s="463">
        <v>145</v>
      </c>
      <c r="B109" s="462">
        <v>221</v>
      </c>
      <c r="C109" s="462">
        <v>185</v>
      </c>
      <c r="D109" s="462">
        <v>162</v>
      </c>
      <c r="E109" s="462">
        <v>160</v>
      </c>
      <c r="F109" s="462">
        <v>157</v>
      </c>
      <c r="G109" s="462">
        <v>155</v>
      </c>
      <c r="H109" s="462">
        <v>149</v>
      </c>
      <c r="I109" s="462">
        <v>139</v>
      </c>
      <c r="J109" s="462">
        <v>129</v>
      </c>
      <c r="K109" s="462">
        <v>124</v>
      </c>
      <c r="L109" s="462">
        <v>119</v>
      </c>
    </row>
    <row r="110" spans="1:12" ht="12.75">
      <c r="A110" s="463">
        <v>150</v>
      </c>
      <c r="B110" s="462">
        <v>223</v>
      </c>
      <c r="C110" s="462">
        <v>187</v>
      </c>
      <c r="D110" s="462">
        <v>165</v>
      </c>
      <c r="E110" s="462">
        <v>163</v>
      </c>
      <c r="F110" s="462">
        <v>159</v>
      </c>
      <c r="G110" s="462">
        <v>157</v>
      </c>
      <c r="H110" s="462">
        <v>151</v>
      </c>
      <c r="I110" s="462">
        <v>142</v>
      </c>
      <c r="J110" s="462">
        <v>131</v>
      </c>
      <c r="K110" s="462">
        <v>126</v>
      </c>
      <c r="L110" s="462">
        <v>121</v>
      </c>
    </row>
    <row r="111" spans="1:12" ht="12.75">
      <c r="A111" s="463">
        <v>155</v>
      </c>
      <c r="B111" s="462">
        <v>226</v>
      </c>
      <c r="C111" s="462">
        <v>189</v>
      </c>
      <c r="D111" s="462">
        <v>167</v>
      </c>
      <c r="E111" s="462">
        <v>165</v>
      </c>
      <c r="F111" s="462">
        <v>161</v>
      </c>
      <c r="G111" s="462">
        <v>160</v>
      </c>
      <c r="H111" s="462">
        <v>154</v>
      </c>
      <c r="I111" s="462">
        <v>144</v>
      </c>
      <c r="J111" s="462">
        <v>134</v>
      </c>
      <c r="K111" s="462">
        <v>128</v>
      </c>
      <c r="L111" s="462">
        <v>124</v>
      </c>
    </row>
    <row r="112" spans="1:12" ht="12.75">
      <c r="A112" s="463">
        <v>160</v>
      </c>
      <c r="B112" s="462">
        <v>228</v>
      </c>
      <c r="C112" s="462">
        <v>191</v>
      </c>
      <c r="D112" s="462">
        <v>169</v>
      </c>
      <c r="E112" s="462">
        <v>167</v>
      </c>
      <c r="F112" s="462">
        <v>163</v>
      </c>
      <c r="G112" s="462">
        <v>161</v>
      </c>
      <c r="H112" s="462">
        <v>156</v>
      </c>
      <c r="I112" s="462">
        <v>146</v>
      </c>
      <c r="J112" s="462">
        <v>136</v>
      </c>
      <c r="K112" s="462">
        <v>130</v>
      </c>
      <c r="L112" s="462">
        <v>126</v>
      </c>
    </row>
    <row r="113" spans="1:12" ht="12.75">
      <c r="A113" s="463">
        <v>165</v>
      </c>
      <c r="B113" s="462">
        <v>230</v>
      </c>
      <c r="C113" s="462">
        <v>193</v>
      </c>
      <c r="D113" s="462">
        <v>171</v>
      </c>
      <c r="E113" s="462">
        <v>169</v>
      </c>
      <c r="F113" s="462">
        <v>165</v>
      </c>
      <c r="G113" s="462">
        <v>163</v>
      </c>
      <c r="H113" s="462">
        <v>158</v>
      </c>
      <c r="I113" s="462">
        <v>148</v>
      </c>
      <c r="J113" s="462">
        <v>138</v>
      </c>
      <c r="K113" s="462">
        <v>133</v>
      </c>
      <c r="L113" s="462">
        <v>128</v>
      </c>
    </row>
    <row r="114" spans="1:12" ht="12.75">
      <c r="A114" s="463">
        <v>170</v>
      </c>
      <c r="B114" s="462">
        <v>232</v>
      </c>
      <c r="C114" s="462">
        <v>195</v>
      </c>
      <c r="D114" s="462">
        <v>173</v>
      </c>
      <c r="E114" s="462">
        <v>171</v>
      </c>
      <c r="F114" s="462">
        <v>167</v>
      </c>
      <c r="G114" s="462">
        <v>165</v>
      </c>
      <c r="H114" s="462">
        <v>160</v>
      </c>
      <c r="I114" s="462">
        <v>150</v>
      </c>
      <c r="J114" s="462">
        <v>140</v>
      </c>
      <c r="K114" s="462">
        <v>135</v>
      </c>
      <c r="L114" s="462">
        <v>130</v>
      </c>
    </row>
    <row r="115" spans="1:12" ht="12.75">
      <c r="A115" s="463">
        <v>175</v>
      </c>
      <c r="B115" s="462">
        <v>234</v>
      </c>
      <c r="C115" s="462">
        <v>197</v>
      </c>
      <c r="D115" s="462">
        <v>175</v>
      </c>
      <c r="E115" s="462">
        <v>173</v>
      </c>
      <c r="F115" s="462">
        <v>169</v>
      </c>
      <c r="G115" s="462">
        <v>167</v>
      </c>
      <c r="H115" s="462">
        <v>162</v>
      </c>
      <c r="I115" s="462">
        <v>152</v>
      </c>
      <c r="J115" s="462">
        <v>142</v>
      </c>
      <c r="K115" s="462">
        <v>137</v>
      </c>
      <c r="L115" s="462">
        <v>132</v>
      </c>
    </row>
    <row r="116" spans="1:12" ht="12.75">
      <c r="A116" s="463">
        <v>180</v>
      </c>
      <c r="B116" s="462">
        <v>236</v>
      </c>
      <c r="C116" s="462">
        <v>199</v>
      </c>
      <c r="D116" s="462">
        <v>177</v>
      </c>
      <c r="E116" s="462">
        <v>175</v>
      </c>
      <c r="F116" s="462">
        <v>171</v>
      </c>
      <c r="G116" s="462">
        <v>169</v>
      </c>
      <c r="H116" s="462">
        <v>164</v>
      </c>
      <c r="I116" s="462">
        <v>154</v>
      </c>
      <c r="J116" s="462">
        <v>144</v>
      </c>
      <c r="K116" s="462">
        <v>139</v>
      </c>
      <c r="L116" s="462">
        <v>134</v>
      </c>
    </row>
    <row r="117" spans="1:12" ht="12.75">
      <c r="A117" s="463">
        <v>185</v>
      </c>
      <c r="B117" s="462">
        <v>238</v>
      </c>
      <c r="C117" s="462">
        <v>201</v>
      </c>
      <c r="D117" s="462">
        <v>179</v>
      </c>
      <c r="E117" s="462">
        <v>177</v>
      </c>
      <c r="F117" s="462">
        <v>173</v>
      </c>
      <c r="G117" s="462">
        <v>171</v>
      </c>
      <c r="H117" s="462">
        <v>166</v>
      </c>
      <c r="I117" s="462">
        <v>156</v>
      </c>
      <c r="J117" s="462">
        <v>146</v>
      </c>
      <c r="K117" s="462">
        <v>141</v>
      </c>
      <c r="L117" s="462">
        <v>136</v>
      </c>
    </row>
    <row r="118" spans="1:12" ht="12.75">
      <c r="A118" s="463">
        <v>190</v>
      </c>
      <c r="B118" s="462">
        <v>240</v>
      </c>
      <c r="C118" s="462">
        <v>203</v>
      </c>
      <c r="D118" s="462">
        <v>181</v>
      </c>
      <c r="E118" s="462">
        <v>179</v>
      </c>
      <c r="F118" s="462">
        <v>175</v>
      </c>
      <c r="G118" s="462">
        <v>173</v>
      </c>
      <c r="H118" s="462">
        <v>168</v>
      </c>
      <c r="I118" s="462">
        <v>158</v>
      </c>
      <c r="J118" s="462">
        <v>148</v>
      </c>
      <c r="K118" s="462">
        <v>143</v>
      </c>
      <c r="L118" s="462">
        <v>138</v>
      </c>
    </row>
    <row r="119" spans="1:12" ht="12.75">
      <c r="A119" s="463">
        <v>195</v>
      </c>
      <c r="B119" s="462">
        <v>242</v>
      </c>
      <c r="C119" s="462">
        <v>205</v>
      </c>
      <c r="D119" s="462">
        <v>183</v>
      </c>
      <c r="E119" s="462">
        <v>181</v>
      </c>
      <c r="F119" s="462">
        <v>177</v>
      </c>
      <c r="G119" s="462">
        <v>175</v>
      </c>
      <c r="H119" s="462">
        <v>170</v>
      </c>
      <c r="I119" s="462">
        <v>160</v>
      </c>
      <c r="J119" s="462">
        <v>150</v>
      </c>
      <c r="K119" s="462">
        <v>145</v>
      </c>
      <c r="L119" s="462">
        <v>140</v>
      </c>
    </row>
    <row r="120" spans="1:12" ht="12.75">
      <c r="A120" s="463">
        <v>200</v>
      </c>
      <c r="B120" s="462">
        <v>244</v>
      </c>
      <c r="C120" s="462">
        <v>207</v>
      </c>
      <c r="D120" s="462">
        <v>185</v>
      </c>
      <c r="E120" s="462">
        <v>183</v>
      </c>
      <c r="F120" s="462">
        <v>179</v>
      </c>
      <c r="G120" s="462">
        <v>177</v>
      </c>
      <c r="H120" s="462">
        <v>172</v>
      </c>
      <c r="I120" s="462">
        <v>162</v>
      </c>
      <c r="J120" s="462">
        <v>152</v>
      </c>
      <c r="K120" s="462">
        <v>147</v>
      </c>
      <c r="L120" s="462">
        <v>142</v>
      </c>
    </row>
    <row r="121" spans="1:12" ht="13.5">
      <c r="A121" s="464"/>
      <c r="B121" s="462">
        <v>0</v>
      </c>
      <c r="C121" s="462">
        <v>0</v>
      </c>
      <c r="D121" s="462">
        <v>0</v>
      </c>
      <c r="E121" s="462">
        <v>0</v>
      </c>
      <c r="F121" s="462">
        <v>0</v>
      </c>
      <c r="G121" s="462">
        <v>0</v>
      </c>
      <c r="H121" s="462">
        <v>0</v>
      </c>
      <c r="I121" s="462">
        <v>0</v>
      </c>
      <c r="J121" s="462">
        <v>0</v>
      </c>
      <c r="K121" s="462">
        <v>0</v>
      </c>
      <c r="L121" s="462">
        <v>0</v>
      </c>
    </row>
    <row r="122" spans="1:12" ht="13.5">
      <c r="A122" s="465"/>
      <c r="B122" s="465"/>
      <c r="C122" s="465"/>
      <c r="D122" s="465"/>
      <c r="E122" s="465"/>
      <c r="F122" s="465"/>
      <c r="G122" s="465"/>
      <c r="H122" s="465"/>
      <c r="I122" s="465"/>
      <c r="J122" s="465"/>
      <c r="K122" s="465"/>
      <c r="L122" s="465"/>
    </row>
    <row r="123" spans="1:12" ht="27">
      <c r="A123" s="458" t="s">
        <v>199</v>
      </c>
      <c r="B123" s="459"/>
      <c r="C123" s="685"/>
      <c r="D123" s="685"/>
      <c r="E123" s="685"/>
      <c r="F123" s="685"/>
      <c r="G123" s="685"/>
      <c r="H123" s="685"/>
      <c r="I123" s="685"/>
      <c r="J123" s="686"/>
      <c r="K123" s="686"/>
      <c r="L123" s="686"/>
    </row>
    <row r="124" spans="1:12" ht="12.75">
      <c r="A124" s="462" t="s">
        <v>99</v>
      </c>
      <c r="B124" s="463">
        <v>5</v>
      </c>
      <c r="C124" s="463">
        <v>6</v>
      </c>
      <c r="D124" s="463">
        <v>7</v>
      </c>
      <c r="E124" s="463">
        <v>8</v>
      </c>
      <c r="F124" s="463">
        <v>9</v>
      </c>
      <c r="G124" s="463">
        <v>10</v>
      </c>
      <c r="H124" s="463">
        <v>11</v>
      </c>
      <c r="I124" s="463">
        <v>12</v>
      </c>
      <c r="J124" s="463">
        <v>13</v>
      </c>
      <c r="K124" s="463">
        <v>14</v>
      </c>
      <c r="L124" s="463">
        <v>15</v>
      </c>
    </row>
    <row r="125" spans="1:12" ht="12.75">
      <c r="A125" s="463">
        <v>20</v>
      </c>
      <c r="B125" s="462">
        <v>88</v>
      </c>
      <c r="C125" s="462">
        <v>73</v>
      </c>
      <c r="D125" s="462">
        <v>64</v>
      </c>
      <c r="E125" s="462">
        <v>57</v>
      </c>
      <c r="F125" s="462">
        <v>52</v>
      </c>
      <c r="G125" s="462">
        <v>51</v>
      </c>
      <c r="H125" s="462">
        <v>49</v>
      </c>
      <c r="I125" s="462">
        <v>45</v>
      </c>
      <c r="J125" s="462">
        <v>44</v>
      </c>
      <c r="K125" s="462">
        <v>42</v>
      </c>
      <c r="L125" s="462">
        <v>39</v>
      </c>
    </row>
    <row r="126" spans="1:12" ht="12.75">
      <c r="A126" s="463">
        <v>25</v>
      </c>
      <c r="B126" s="462">
        <v>96</v>
      </c>
      <c r="C126" s="462">
        <v>80</v>
      </c>
      <c r="D126" s="462">
        <v>72</v>
      </c>
      <c r="E126" s="462">
        <v>65</v>
      </c>
      <c r="F126" s="462">
        <v>60</v>
      </c>
      <c r="G126" s="462">
        <v>58</v>
      </c>
      <c r="H126" s="462">
        <v>55</v>
      </c>
      <c r="I126" s="462">
        <v>51</v>
      </c>
      <c r="J126" s="462">
        <v>50</v>
      </c>
      <c r="K126" s="462">
        <v>47</v>
      </c>
      <c r="L126" s="462">
        <v>44</v>
      </c>
    </row>
    <row r="127" spans="1:12" ht="12.75">
      <c r="A127" s="463">
        <v>30</v>
      </c>
      <c r="B127" s="462">
        <v>103</v>
      </c>
      <c r="C127" s="462">
        <v>86</v>
      </c>
      <c r="D127" s="462">
        <v>77</v>
      </c>
      <c r="E127" s="462">
        <v>74</v>
      </c>
      <c r="F127" s="462">
        <v>68</v>
      </c>
      <c r="G127" s="462">
        <v>66</v>
      </c>
      <c r="H127" s="462">
        <v>62</v>
      </c>
      <c r="I127" s="462">
        <v>58</v>
      </c>
      <c r="J127" s="462">
        <v>55</v>
      </c>
      <c r="K127" s="462">
        <v>52</v>
      </c>
      <c r="L127" s="462">
        <v>49</v>
      </c>
    </row>
    <row r="128" spans="1:12" ht="12.75">
      <c r="A128" s="463">
        <v>35</v>
      </c>
      <c r="B128" s="462">
        <v>112</v>
      </c>
      <c r="C128" s="462">
        <v>93</v>
      </c>
      <c r="D128" s="462">
        <v>83</v>
      </c>
      <c r="E128" s="462">
        <v>82</v>
      </c>
      <c r="F128" s="462">
        <v>75</v>
      </c>
      <c r="G128" s="462">
        <v>73</v>
      </c>
      <c r="H128" s="462">
        <v>70</v>
      </c>
      <c r="I128" s="462">
        <v>65</v>
      </c>
      <c r="J128" s="462">
        <v>61</v>
      </c>
      <c r="K128" s="462">
        <v>58</v>
      </c>
      <c r="L128" s="462">
        <v>55</v>
      </c>
    </row>
    <row r="129" spans="1:12" ht="12.75">
      <c r="A129" s="463">
        <v>40</v>
      </c>
      <c r="B129" s="462">
        <v>120</v>
      </c>
      <c r="C129" s="462">
        <v>100</v>
      </c>
      <c r="D129" s="462">
        <v>89</v>
      </c>
      <c r="E129" s="462">
        <v>88</v>
      </c>
      <c r="F129" s="462">
        <v>81</v>
      </c>
      <c r="G129" s="462">
        <v>79</v>
      </c>
      <c r="H129" s="462">
        <v>76</v>
      </c>
      <c r="I129" s="462">
        <v>71</v>
      </c>
      <c r="J129" s="462">
        <v>65</v>
      </c>
      <c r="K129" s="462">
        <v>63</v>
      </c>
      <c r="L129" s="462">
        <v>60</v>
      </c>
    </row>
    <row r="130" spans="1:12" ht="12.75">
      <c r="A130" s="463">
        <v>45</v>
      </c>
      <c r="B130" s="462">
        <v>128</v>
      </c>
      <c r="C130" s="462">
        <v>107</v>
      </c>
      <c r="D130" s="462">
        <v>95</v>
      </c>
      <c r="E130" s="462">
        <v>92</v>
      </c>
      <c r="F130" s="462">
        <v>86</v>
      </c>
      <c r="G130" s="462">
        <v>84</v>
      </c>
      <c r="H130" s="462">
        <v>82</v>
      </c>
      <c r="I130" s="462">
        <v>77</v>
      </c>
      <c r="J130" s="462">
        <v>71</v>
      </c>
      <c r="K130" s="462">
        <v>67</v>
      </c>
      <c r="L130" s="462">
        <v>64</v>
      </c>
    </row>
    <row r="131" spans="1:12" ht="12.75">
      <c r="A131" s="463">
        <v>50</v>
      </c>
      <c r="B131" s="462">
        <v>134</v>
      </c>
      <c r="C131" s="462">
        <v>112</v>
      </c>
      <c r="D131" s="462">
        <v>99</v>
      </c>
      <c r="E131" s="462">
        <v>97</v>
      </c>
      <c r="F131" s="462">
        <v>90</v>
      </c>
      <c r="G131" s="462">
        <v>88</v>
      </c>
      <c r="H131" s="462">
        <v>86</v>
      </c>
      <c r="I131" s="462">
        <v>81</v>
      </c>
      <c r="J131" s="462">
        <v>73</v>
      </c>
      <c r="K131" s="462">
        <v>70</v>
      </c>
      <c r="L131" s="462">
        <v>67</v>
      </c>
    </row>
    <row r="132" spans="1:12" ht="12.75">
      <c r="A132" s="463">
        <v>55</v>
      </c>
      <c r="B132" s="462">
        <v>138</v>
      </c>
      <c r="C132" s="462">
        <v>115</v>
      </c>
      <c r="D132" s="462">
        <v>104</v>
      </c>
      <c r="E132" s="462">
        <v>101</v>
      </c>
      <c r="F132" s="462">
        <v>95</v>
      </c>
      <c r="G132" s="462">
        <v>93</v>
      </c>
      <c r="H132" s="462">
        <v>89</v>
      </c>
      <c r="I132" s="462">
        <v>85</v>
      </c>
      <c r="J132" s="462">
        <v>76</v>
      </c>
      <c r="K132" s="462">
        <v>73</v>
      </c>
      <c r="L132" s="462">
        <v>70</v>
      </c>
    </row>
    <row r="133" spans="1:12" ht="12.75">
      <c r="A133" s="463">
        <v>60</v>
      </c>
      <c r="B133" s="462">
        <v>149</v>
      </c>
      <c r="C133" s="462">
        <v>124</v>
      </c>
      <c r="D133" s="462">
        <v>110</v>
      </c>
      <c r="E133" s="462">
        <v>107</v>
      </c>
      <c r="F133" s="462">
        <v>101</v>
      </c>
      <c r="G133" s="462">
        <v>99</v>
      </c>
      <c r="H133" s="462">
        <v>94</v>
      </c>
      <c r="I133" s="462">
        <v>90</v>
      </c>
      <c r="J133" s="462">
        <v>82</v>
      </c>
      <c r="K133" s="462">
        <v>78</v>
      </c>
      <c r="L133" s="462">
        <v>75</v>
      </c>
    </row>
    <row r="134" spans="1:12" ht="12.75">
      <c r="A134" s="463">
        <v>65</v>
      </c>
      <c r="B134" s="462">
        <v>155</v>
      </c>
      <c r="C134" s="462">
        <v>129</v>
      </c>
      <c r="D134" s="462">
        <v>114</v>
      </c>
      <c r="E134" s="462">
        <v>112</v>
      </c>
      <c r="F134" s="462">
        <v>106</v>
      </c>
      <c r="G134" s="462">
        <v>104</v>
      </c>
      <c r="H134" s="462">
        <v>99</v>
      </c>
      <c r="I134" s="462">
        <v>95</v>
      </c>
      <c r="J134" s="462">
        <v>86</v>
      </c>
      <c r="K134" s="462">
        <v>82</v>
      </c>
      <c r="L134" s="462">
        <v>78</v>
      </c>
    </row>
    <row r="135" spans="1:12" ht="12.75">
      <c r="A135" s="463">
        <v>70</v>
      </c>
      <c r="B135" s="462">
        <v>162</v>
      </c>
      <c r="C135" s="462">
        <v>135</v>
      </c>
      <c r="D135" s="462">
        <v>120</v>
      </c>
      <c r="E135" s="462">
        <v>117</v>
      </c>
      <c r="F135" s="462">
        <v>111</v>
      </c>
      <c r="G135" s="462">
        <v>109</v>
      </c>
      <c r="H135" s="462">
        <v>105</v>
      </c>
      <c r="I135" s="462">
        <v>99</v>
      </c>
      <c r="J135" s="462">
        <v>89</v>
      </c>
      <c r="K135" s="462">
        <v>85</v>
      </c>
      <c r="L135" s="462">
        <v>81</v>
      </c>
    </row>
    <row r="136" spans="1:12" ht="12.75">
      <c r="A136" s="463">
        <v>75</v>
      </c>
      <c r="B136" s="462">
        <v>167</v>
      </c>
      <c r="C136" s="462">
        <v>139</v>
      </c>
      <c r="D136" s="462">
        <v>124</v>
      </c>
      <c r="E136" s="462">
        <v>121</v>
      </c>
      <c r="F136" s="462">
        <v>115</v>
      </c>
      <c r="G136" s="462">
        <v>113</v>
      </c>
      <c r="H136" s="462">
        <v>109</v>
      </c>
      <c r="I136" s="462">
        <v>104</v>
      </c>
      <c r="J136" s="462">
        <v>94</v>
      </c>
      <c r="K136" s="462">
        <v>90</v>
      </c>
      <c r="L136" s="462">
        <v>87</v>
      </c>
    </row>
    <row r="137" spans="1:12" ht="12.75">
      <c r="A137" s="463">
        <v>80</v>
      </c>
      <c r="B137" s="462">
        <v>175</v>
      </c>
      <c r="C137" s="462">
        <v>146</v>
      </c>
      <c r="D137" s="462">
        <v>129</v>
      </c>
      <c r="E137" s="462">
        <v>127</v>
      </c>
      <c r="F137" s="462">
        <v>121</v>
      </c>
      <c r="G137" s="462">
        <v>119</v>
      </c>
      <c r="H137" s="462">
        <v>113</v>
      </c>
      <c r="I137" s="462">
        <v>107</v>
      </c>
      <c r="J137" s="462">
        <v>98</v>
      </c>
      <c r="K137" s="462">
        <v>94</v>
      </c>
      <c r="L137" s="462">
        <v>90</v>
      </c>
    </row>
    <row r="138" spans="1:12" ht="12.75">
      <c r="A138" s="463">
        <v>85</v>
      </c>
      <c r="B138" s="462">
        <v>182</v>
      </c>
      <c r="C138" s="462">
        <v>151</v>
      </c>
      <c r="D138" s="462">
        <v>133</v>
      </c>
      <c r="E138" s="462">
        <v>131</v>
      </c>
      <c r="F138" s="462">
        <v>125</v>
      </c>
      <c r="G138" s="462">
        <v>123</v>
      </c>
      <c r="H138" s="462">
        <v>118</v>
      </c>
      <c r="I138" s="462">
        <v>111</v>
      </c>
      <c r="J138" s="462">
        <v>101</v>
      </c>
      <c r="K138" s="462">
        <v>97</v>
      </c>
      <c r="L138" s="462">
        <v>94</v>
      </c>
    </row>
    <row r="139" spans="1:12" ht="12.75">
      <c r="A139" s="463">
        <v>90</v>
      </c>
      <c r="B139" s="462">
        <v>187</v>
      </c>
      <c r="C139" s="462">
        <v>156</v>
      </c>
      <c r="D139" s="462">
        <v>137</v>
      </c>
      <c r="E139" s="462">
        <v>135</v>
      </c>
      <c r="F139" s="462">
        <v>130</v>
      </c>
      <c r="G139" s="462">
        <v>128</v>
      </c>
      <c r="H139" s="462">
        <v>123</v>
      </c>
      <c r="I139" s="462">
        <v>116</v>
      </c>
      <c r="J139" s="462">
        <v>106</v>
      </c>
      <c r="K139" s="462">
        <v>103</v>
      </c>
      <c r="L139" s="462">
        <v>99</v>
      </c>
    </row>
    <row r="140" spans="1:12" ht="12.75">
      <c r="A140" s="463">
        <v>95</v>
      </c>
      <c r="B140" s="462">
        <v>194</v>
      </c>
      <c r="C140" s="462">
        <v>162</v>
      </c>
      <c r="D140" s="462">
        <v>142</v>
      </c>
      <c r="E140" s="462">
        <v>140</v>
      </c>
      <c r="F140" s="462">
        <v>135</v>
      </c>
      <c r="G140" s="462">
        <v>133</v>
      </c>
      <c r="H140" s="462">
        <v>128</v>
      </c>
      <c r="I140" s="462">
        <v>120</v>
      </c>
      <c r="J140" s="462">
        <v>110</v>
      </c>
      <c r="K140" s="462">
        <v>106</v>
      </c>
      <c r="L140" s="462">
        <v>102</v>
      </c>
    </row>
    <row r="141" spans="1:12" ht="12.75">
      <c r="A141" s="463">
        <v>100</v>
      </c>
      <c r="B141" s="462">
        <v>199</v>
      </c>
      <c r="C141" s="462">
        <v>166</v>
      </c>
      <c r="D141" s="462">
        <v>146</v>
      </c>
      <c r="E141" s="462">
        <v>144</v>
      </c>
      <c r="F141" s="462">
        <v>140</v>
      </c>
      <c r="G141" s="462">
        <v>138</v>
      </c>
      <c r="H141" s="462">
        <v>132</v>
      </c>
      <c r="I141" s="462">
        <v>124</v>
      </c>
      <c r="J141" s="462">
        <v>113</v>
      </c>
      <c r="K141" s="462">
        <v>109</v>
      </c>
      <c r="L141" s="462">
        <v>105</v>
      </c>
    </row>
    <row r="142" spans="1:12" ht="12.75">
      <c r="A142" s="463">
        <v>105</v>
      </c>
      <c r="B142" s="462">
        <v>208</v>
      </c>
      <c r="C142" s="462">
        <v>173</v>
      </c>
      <c r="D142" s="462">
        <v>152</v>
      </c>
      <c r="E142" s="462">
        <v>150</v>
      </c>
      <c r="F142" s="462">
        <v>146</v>
      </c>
      <c r="G142" s="462">
        <v>144</v>
      </c>
      <c r="H142" s="462">
        <v>138</v>
      </c>
      <c r="I142" s="462">
        <v>129</v>
      </c>
      <c r="J142" s="462">
        <v>117</v>
      </c>
      <c r="K142" s="462">
        <v>113</v>
      </c>
      <c r="L142" s="462">
        <v>108</v>
      </c>
    </row>
    <row r="143" spans="1:12" ht="12.75">
      <c r="A143" s="463">
        <v>110</v>
      </c>
      <c r="B143" s="462">
        <v>211</v>
      </c>
      <c r="C143" s="462">
        <v>176</v>
      </c>
      <c r="D143" s="462">
        <v>155</v>
      </c>
      <c r="E143" s="462">
        <v>153</v>
      </c>
      <c r="F143" s="462">
        <v>149</v>
      </c>
      <c r="G143" s="462">
        <v>147</v>
      </c>
      <c r="H143" s="462">
        <v>141</v>
      </c>
      <c r="I143" s="462">
        <v>132</v>
      </c>
      <c r="J143" s="462">
        <v>121</v>
      </c>
      <c r="K143" s="462">
        <v>115</v>
      </c>
      <c r="L143" s="462">
        <v>111</v>
      </c>
    </row>
    <row r="144" spans="1:12" ht="12.75">
      <c r="A144" s="463">
        <v>115</v>
      </c>
      <c r="B144" s="462">
        <v>215</v>
      </c>
      <c r="C144" s="462">
        <v>179</v>
      </c>
      <c r="D144" s="462">
        <v>157</v>
      </c>
      <c r="E144" s="462">
        <v>155</v>
      </c>
      <c r="F144" s="462">
        <v>152</v>
      </c>
      <c r="G144" s="462">
        <v>150</v>
      </c>
      <c r="H144" s="462">
        <v>144</v>
      </c>
      <c r="I144" s="462">
        <v>135</v>
      </c>
      <c r="J144" s="462">
        <v>124</v>
      </c>
      <c r="K144" s="462">
        <v>118</v>
      </c>
      <c r="L144" s="462">
        <v>114</v>
      </c>
    </row>
    <row r="145" spans="1:12" ht="12.75">
      <c r="A145" s="463">
        <v>120</v>
      </c>
      <c r="B145" s="462">
        <v>219</v>
      </c>
      <c r="C145" s="462">
        <v>182</v>
      </c>
      <c r="D145" s="462">
        <v>160</v>
      </c>
      <c r="E145" s="462">
        <v>158</v>
      </c>
      <c r="F145" s="462">
        <v>155</v>
      </c>
      <c r="G145" s="462">
        <v>153</v>
      </c>
      <c r="H145" s="462">
        <v>147</v>
      </c>
      <c r="I145" s="462">
        <v>137</v>
      </c>
      <c r="J145" s="462">
        <v>127</v>
      </c>
      <c r="K145" s="462">
        <v>122</v>
      </c>
      <c r="L145" s="462">
        <v>117</v>
      </c>
    </row>
    <row r="146" spans="1:12" ht="12.75">
      <c r="A146" s="463">
        <v>125</v>
      </c>
      <c r="B146" s="462">
        <v>221</v>
      </c>
      <c r="C146" s="462">
        <v>185</v>
      </c>
      <c r="D146" s="462">
        <v>162</v>
      </c>
      <c r="E146" s="462">
        <v>160</v>
      </c>
      <c r="F146" s="462">
        <v>157</v>
      </c>
      <c r="G146" s="462">
        <v>155</v>
      </c>
      <c r="H146" s="462">
        <v>149</v>
      </c>
      <c r="I146" s="462">
        <v>139</v>
      </c>
      <c r="J146" s="462">
        <v>129</v>
      </c>
      <c r="K146" s="462">
        <v>124</v>
      </c>
      <c r="L146" s="462">
        <v>119</v>
      </c>
    </row>
    <row r="147" spans="1:12" ht="12.75">
      <c r="A147" s="463">
        <v>130</v>
      </c>
      <c r="B147" s="462">
        <v>223</v>
      </c>
      <c r="C147" s="462">
        <v>187</v>
      </c>
      <c r="D147" s="462">
        <v>165</v>
      </c>
      <c r="E147" s="462">
        <v>163</v>
      </c>
      <c r="F147" s="462">
        <v>159</v>
      </c>
      <c r="G147" s="462">
        <v>157</v>
      </c>
      <c r="H147" s="462">
        <v>151</v>
      </c>
      <c r="I147" s="462">
        <v>142</v>
      </c>
      <c r="J147" s="462">
        <v>131</v>
      </c>
      <c r="K147" s="462">
        <v>126</v>
      </c>
      <c r="L147" s="462">
        <v>121</v>
      </c>
    </row>
    <row r="148" spans="1:12" ht="12.75">
      <c r="A148" s="463">
        <v>135</v>
      </c>
      <c r="B148" s="462">
        <v>226</v>
      </c>
      <c r="C148" s="462">
        <v>189</v>
      </c>
      <c r="D148" s="462">
        <v>167</v>
      </c>
      <c r="E148" s="462">
        <v>165</v>
      </c>
      <c r="F148" s="462">
        <v>161</v>
      </c>
      <c r="G148" s="462">
        <v>160</v>
      </c>
      <c r="H148" s="462">
        <v>154</v>
      </c>
      <c r="I148" s="462">
        <v>144</v>
      </c>
      <c r="J148" s="462">
        <v>134</v>
      </c>
      <c r="K148" s="462">
        <v>128</v>
      </c>
      <c r="L148" s="462">
        <v>124</v>
      </c>
    </row>
    <row r="149" spans="1:12" ht="12.75">
      <c r="A149" s="463">
        <v>140</v>
      </c>
      <c r="B149" s="462">
        <v>228</v>
      </c>
      <c r="C149" s="462">
        <v>191</v>
      </c>
      <c r="D149" s="462">
        <v>169</v>
      </c>
      <c r="E149" s="462">
        <v>167</v>
      </c>
      <c r="F149" s="462">
        <v>163</v>
      </c>
      <c r="G149" s="462">
        <v>161</v>
      </c>
      <c r="H149" s="462">
        <v>156</v>
      </c>
      <c r="I149" s="462">
        <v>146</v>
      </c>
      <c r="J149" s="462">
        <v>136</v>
      </c>
      <c r="K149" s="462">
        <v>130</v>
      </c>
      <c r="L149" s="462">
        <v>126</v>
      </c>
    </row>
    <row r="150" spans="1:12" ht="12.75">
      <c r="A150" s="463">
        <v>145</v>
      </c>
      <c r="B150" s="462">
        <v>230</v>
      </c>
      <c r="C150" s="462">
        <v>193</v>
      </c>
      <c r="D150" s="462">
        <v>171</v>
      </c>
      <c r="E150" s="462">
        <v>169</v>
      </c>
      <c r="F150" s="462">
        <v>165</v>
      </c>
      <c r="G150" s="462">
        <v>163</v>
      </c>
      <c r="H150" s="462">
        <v>158</v>
      </c>
      <c r="I150" s="462">
        <v>148</v>
      </c>
      <c r="J150" s="462">
        <v>138</v>
      </c>
      <c r="K150" s="462">
        <v>133</v>
      </c>
      <c r="L150" s="462">
        <v>128</v>
      </c>
    </row>
    <row r="151" spans="1:12" ht="12.75">
      <c r="A151" s="463">
        <v>150</v>
      </c>
      <c r="B151" s="462">
        <v>232</v>
      </c>
      <c r="C151" s="462">
        <v>195</v>
      </c>
      <c r="D151" s="462">
        <v>173</v>
      </c>
      <c r="E151" s="462">
        <v>171</v>
      </c>
      <c r="F151" s="462">
        <v>167</v>
      </c>
      <c r="G151" s="462">
        <v>165</v>
      </c>
      <c r="H151" s="462">
        <v>160</v>
      </c>
      <c r="I151" s="462">
        <v>150</v>
      </c>
      <c r="J151" s="462">
        <v>140</v>
      </c>
      <c r="K151" s="462">
        <v>135</v>
      </c>
      <c r="L151" s="462">
        <v>130</v>
      </c>
    </row>
    <row r="152" spans="1:12" ht="12.75">
      <c r="A152" s="463">
        <v>155</v>
      </c>
      <c r="B152" s="462">
        <v>234</v>
      </c>
      <c r="C152" s="462">
        <v>197</v>
      </c>
      <c r="D152" s="462">
        <v>175</v>
      </c>
      <c r="E152" s="462">
        <v>173</v>
      </c>
      <c r="F152" s="462">
        <v>169</v>
      </c>
      <c r="G152" s="462">
        <v>167</v>
      </c>
      <c r="H152" s="462">
        <v>162</v>
      </c>
      <c r="I152" s="462">
        <v>152</v>
      </c>
      <c r="J152" s="462">
        <v>142</v>
      </c>
      <c r="K152" s="462">
        <v>137</v>
      </c>
      <c r="L152" s="462">
        <v>132</v>
      </c>
    </row>
    <row r="153" spans="1:12" ht="12.75">
      <c r="A153" s="463">
        <v>160</v>
      </c>
      <c r="B153" s="462">
        <v>236</v>
      </c>
      <c r="C153" s="462">
        <v>199</v>
      </c>
      <c r="D153" s="462">
        <v>177</v>
      </c>
      <c r="E153" s="462">
        <v>175</v>
      </c>
      <c r="F153" s="462">
        <v>171</v>
      </c>
      <c r="G153" s="462">
        <v>169</v>
      </c>
      <c r="H153" s="462">
        <v>164</v>
      </c>
      <c r="I153" s="462">
        <v>154</v>
      </c>
      <c r="J153" s="462">
        <v>144</v>
      </c>
      <c r="K153" s="462">
        <v>139</v>
      </c>
      <c r="L153" s="462">
        <v>134</v>
      </c>
    </row>
    <row r="154" spans="1:12" ht="12.75">
      <c r="A154" s="463">
        <v>165</v>
      </c>
      <c r="B154" s="462">
        <v>238</v>
      </c>
      <c r="C154" s="462">
        <v>201</v>
      </c>
      <c r="D154" s="462">
        <v>179</v>
      </c>
      <c r="E154" s="462">
        <v>177</v>
      </c>
      <c r="F154" s="462">
        <v>173</v>
      </c>
      <c r="G154" s="462">
        <v>171</v>
      </c>
      <c r="H154" s="462">
        <v>166</v>
      </c>
      <c r="I154" s="462">
        <v>156</v>
      </c>
      <c r="J154" s="462">
        <v>146</v>
      </c>
      <c r="K154" s="462">
        <v>141</v>
      </c>
      <c r="L154" s="462">
        <v>136</v>
      </c>
    </row>
    <row r="155" spans="1:12" ht="12.75">
      <c r="A155" s="463">
        <v>170</v>
      </c>
      <c r="B155" s="462">
        <v>240</v>
      </c>
      <c r="C155" s="462">
        <v>203</v>
      </c>
      <c r="D155" s="462">
        <v>181</v>
      </c>
      <c r="E155" s="462">
        <v>179</v>
      </c>
      <c r="F155" s="462">
        <v>175</v>
      </c>
      <c r="G155" s="462">
        <v>173</v>
      </c>
      <c r="H155" s="462">
        <v>168</v>
      </c>
      <c r="I155" s="462">
        <v>158</v>
      </c>
      <c r="J155" s="462">
        <v>148</v>
      </c>
      <c r="K155" s="462">
        <v>143</v>
      </c>
      <c r="L155" s="462">
        <v>138</v>
      </c>
    </row>
    <row r="156" spans="1:12" ht="12.75">
      <c r="A156" s="463">
        <v>175</v>
      </c>
      <c r="B156" s="462">
        <v>242</v>
      </c>
      <c r="C156" s="462">
        <v>205</v>
      </c>
      <c r="D156" s="462">
        <v>183</v>
      </c>
      <c r="E156" s="462">
        <v>181</v>
      </c>
      <c r="F156" s="462">
        <v>177</v>
      </c>
      <c r="G156" s="462">
        <v>175</v>
      </c>
      <c r="H156" s="462">
        <v>170</v>
      </c>
      <c r="I156" s="462">
        <v>160</v>
      </c>
      <c r="J156" s="462">
        <v>150</v>
      </c>
      <c r="K156" s="462">
        <v>145</v>
      </c>
      <c r="L156" s="462">
        <v>140</v>
      </c>
    </row>
    <row r="157" spans="1:12" ht="12.75">
      <c r="A157" s="463">
        <v>180</v>
      </c>
      <c r="B157" s="462">
        <v>244</v>
      </c>
      <c r="C157" s="462">
        <v>207</v>
      </c>
      <c r="D157" s="462">
        <v>185</v>
      </c>
      <c r="E157" s="462">
        <v>183</v>
      </c>
      <c r="F157" s="462">
        <v>179</v>
      </c>
      <c r="G157" s="462">
        <v>177</v>
      </c>
      <c r="H157" s="462">
        <v>172</v>
      </c>
      <c r="I157" s="462">
        <v>162</v>
      </c>
      <c r="J157" s="462">
        <v>152</v>
      </c>
      <c r="K157" s="462">
        <v>147</v>
      </c>
      <c r="L157" s="462">
        <v>142</v>
      </c>
    </row>
    <row r="158" spans="1:12" ht="12.75">
      <c r="A158" s="463">
        <v>185</v>
      </c>
      <c r="B158" s="462">
        <v>246</v>
      </c>
      <c r="C158" s="462">
        <v>209</v>
      </c>
      <c r="D158" s="462">
        <v>187</v>
      </c>
      <c r="E158" s="462">
        <v>185</v>
      </c>
      <c r="F158" s="462">
        <v>181</v>
      </c>
      <c r="G158" s="462">
        <v>179</v>
      </c>
      <c r="H158" s="462">
        <v>174</v>
      </c>
      <c r="I158" s="462">
        <v>164</v>
      </c>
      <c r="J158" s="462">
        <v>154</v>
      </c>
      <c r="K158" s="462">
        <v>149</v>
      </c>
      <c r="L158" s="462">
        <v>144</v>
      </c>
    </row>
    <row r="159" spans="1:12" ht="12.75">
      <c r="A159" s="463">
        <v>190</v>
      </c>
      <c r="B159" s="462">
        <v>248</v>
      </c>
      <c r="C159" s="462">
        <v>211</v>
      </c>
      <c r="D159" s="462">
        <v>189</v>
      </c>
      <c r="E159" s="462">
        <v>187</v>
      </c>
      <c r="F159" s="462">
        <v>183</v>
      </c>
      <c r="G159" s="462">
        <v>181</v>
      </c>
      <c r="H159" s="462">
        <v>176</v>
      </c>
      <c r="I159" s="462">
        <v>166</v>
      </c>
      <c r="J159" s="462">
        <v>156</v>
      </c>
      <c r="K159" s="462">
        <v>151</v>
      </c>
      <c r="L159" s="462">
        <v>146</v>
      </c>
    </row>
    <row r="160" spans="1:12" ht="12.75">
      <c r="A160" s="463">
        <v>195</v>
      </c>
      <c r="B160" s="462">
        <v>250</v>
      </c>
      <c r="C160" s="462">
        <v>213</v>
      </c>
      <c r="D160" s="462">
        <v>191</v>
      </c>
      <c r="E160" s="462">
        <v>189</v>
      </c>
      <c r="F160" s="462">
        <v>185</v>
      </c>
      <c r="G160" s="462">
        <v>183</v>
      </c>
      <c r="H160" s="462">
        <v>178</v>
      </c>
      <c r="I160" s="462">
        <v>168</v>
      </c>
      <c r="J160" s="462">
        <v>158</v>
      </c>
      <c r="K160" s="462">
        <v>153</v>
      </c>
      <c r="L160" s="462">
        <v>148</v>
      </c>
    </row>
    <row r="161" spans="1:12" ht="12.75">
      <c r="A161" s="463">
        <v>200</v>
      </c>
      <c r="B161" s="462">
        <v>252</v>
      </c>
      <c r="C161" s="462">
        <v>215</v>
      </c>
      <c r="D161" s="462">
        <v>193</v>
      </c>
      <c r="E161" s="462">
        <v>191</v>
      </c>
      <c r="F161" s="462">
        <v>187</v>
      </c>
      <c r="G161" s="462">
        <v>185</v>
      </c>
      <c r="H161" s="462">
        <v>180</v>
      </c>
      <c r="I161" s="462">
        <v>170</v>
      </c>
      <c r="J161" s="462">
        <v>160</v>
      </c>
      <c r="K161" s="462">
        <v>155</v>
      </c>
      <c r="L161" s="462">
        <v>150</v>
      </c>
    </row>
    <row r="162" spans="1:12" ht="13.5">
      <c r="A162" s="464"/>
      <c r="B162" s="462">
        <v>0</v>
      </c>
      <c r="C162" s="462">
        <v>0</v>
      </c>
      <c r="D162" s="462">
        <v>0</v>
      </c>
      <c r="E162" s="462">
        <v>0</v>
      </c>
      <c r="F162" s="462">
        <v>0</v>
      </c>
      <c r="G162" s="462">
        <v>0</v>
      </c>
      <c r="H162" s="462">
        <v>0</v>
      </c>
      <c r="I162" s="462">
        <v>0</v>
      </c>
      <c r="J162" s="462">
        <v>0</v>
      </c>
      <c r="K162" s="462">
        <v>0</v>
      </c>
      <c r="L162" s="462">
        <v>0</v>
      </c>
    </row>
    <row r="163" spans="1:12" ht="13.5">
      <c r="A163" s="464"/>
      <c r="B163" s="468"/>
      <c r="C163" s="468"/>
      <c r="D163" s="468"/>
      <c r="E163" s="468"/>
      <c r="F163" s="468"/>
      <c r="G163" s="468"/>
      <c r="H163" s="468"/>
      <c r="I163" s="468"/>
      <c r="J163" s="468"/>
      <c r="K163" s="468"/>
      <c r="L163" s="468"/>
    </row>
    <row r="164" spans="1:12" ht="27">
      <c r="A164" s="458" t="s">
        <v>200</v>
      </c>
      <c r="B164" s="459"/>
      <c r="C164" s="685"/>
      <c r="D164" s="685"/>
      <c r="E164" s="685"/>
      <c r="F164" s="685"/>
      <c r="G164" s="685"/>
      <c r="H164" s="685"/>
      <c r="I164" s="685"/>
      <c r="J164" s="686"/>
      <c r="K164" s="686"/>
      <c r="L164" s="686"/>
    </row>
    <row r="165" spans="1:12" ht="12.75">
      <c r="A165" s="462" t="s">
        <v>99</v>
      </c>
      <c r="B165" s="463">
        <v>5</v>
      </c>
      <c r="C165" s="463">
        <v>6</v>
      </c>
      <c r="D165" s="463">
        <v>7</v>
      </c>
      <c r="E165" s="463">
        <v>8</v>
      </c>
      <c r="F165" s="463">
        <v>9</v>
      </c>
      <c r="G165" s="463">
        <v>10</v>
      </c>
      <c r="H165" s="463">
        <v>11</v>
      </c>
      <c r="I165" s="463">
        <v>12</v>
      </c>
      <c r="J165" s="463">
        <v>13</v>
      </c>
      <c r="K165" s="463">
        <v>14</v>
      </c>
      <c r="L165" s="463">
        <v>15</v>
      </c>
    </row>
    <row r="166" spans="1:12" ht="12.75">
      <c r="A166" s="463">
        <v>20</v>
      </c>
      <c r="B166" s="462">
        <v>68</v>
      </c>
      <c r="C166" s="462">
        <v>57</v>
      </c>
      <c r="D166" s="462">
        <v>49</v>
      </c>
      <c r="E166" s="462">
        <v>44</v>
      </c>
      <c r="F166" s="462">
        <v>41</v>
      </c>
      <c r="G166" s="462">
        <v>40</v>
      </c>
      <c r="H166" s="462">
        <v>39</v>
      </c>
      <c r="I166" s="462">
        <v>38</v>
      </c>
      <c r="J166" s="462">
        <v>36</v>
      </c>
      <c r="K166" s="462">
        <v>35</v>
      </c>
      <c r="L166" s="462">
        <v>32</v>
      </c>
    </row>
    <row r="167" spans="1:12" ht="12.75">
      <c r="A167" s="463">
        <v>25</v>
      </c>
      <c r="B167" s="462">
        <v>77</v>
      </c>
      <c r="C167" s="462">
        <v>64</v>
      </c>
      <c r="D167" s="462">
        <v>56</v>
      </c>
      <c r="E167" s="462">
        <v>50</v>
      </c>
      <c r="F167" s="462">
        <v>46</v>
      </c>
      <c r="G167" s="462">
        <v>45</v>
      </c>
      <c r="H167" s="462">
        <v>43</v>
      </c>
      <c r="I167" s="462">
        <v>42</v>
      </c>
      <c r="J167" s="462">
        <v>41</v>
      </c>
      <c r="K167" s="462">
        <v>38</v>
      </c>
      <c r="L167" s="462">
        <v>35</v>
      </c>
    </row>
    <row r="168" spans="1:12" ht="12.75">
      <c r="A168" s="463">
        <v>30</v>
      </c>
      <c r="B168" s="462">
        <v>86</v>
      </c>
      <c r="C168" s="462">
        <v>72</v>
      </c>
      <c r="D168" s="462">
        <v>63</v>
      </c>
      <c r="E168" s="462">
        <v>56</v>
      </c>
      <c r="F168" s="462">
        <v>51</v>
      </c>
      <c r="G168" s="462">
        <v>50</v>
      </c>
      <c r="H168" s="462">
        <v>48</v>
      </c>
      <c r="I168" s="462">
        <v>45</v>
      </c>
      <c r="J168" s="462">
        <v>44</v>
      </c>
      <c r="K168" s="462">
        <v>41</v>
      </c>
      <c r="L168" s="462">
        <v>38</v>
      </c>
    </row>
    <row r="169" spans="1:12" ht="12.75">
      <c r="A169" s="463">
        <v>35</v>
      </c>
      <c r="B169" s="462">
        <v>93</v>
      </c>
      <c r="C169" s="462">
        <v>78</v>
      </c>
      <c r="D169" s="462">
        <v>69</v>
      </c>
      <c r="E169" s="462">
        <v>62</v>
      </c>
      <c r="F169" s="462">
        <v>57</v>
      </c>
      <c r="G169" s="462">
        <v>55</v>
      </c>
      <c r="H169" s="462">
        <v>53</v>
      </c>
      <c r="I169" s="462">
        <v>49</v>
      </c>
      <c r="J169" s="462">
        <v>48</v>
      </c>
      <c r="K169" s="462">
        <v>45</v>
      </c>
      <c r="L169" s="462">
        <v>42</v>
      </c>
    </row>
    <row r="170" spans="1:12" ht="12.75">
      <c r="A170" s="463">
        <v>40</v>
      </c>
      <c r="B170" s="462">
        <v>98</v>
      </c>
      <c r="C170" s="462">
        <v>82</v>
      </c>
      <c r="D170" s="462">
        <v>73</v>
      </c>
      <c r="E170" s="462">
        <v>67</v>
      </c>
      <c r="F170" s="462">
        <v>62</v>
      </c>
      <c r="G170" s="462">
        <v>60</v>
      </c>
      <c r="H170" s="462">
        <v>57</v>
      </c>
      <c r="I170" s="462">
        <v>52</v>
      </c>
      <c r="J170" s="462">
        <v>51</v>
      </c>
      <c r="K170" s="462">
        <v>48</v>
      </c>
      <c r="L170" s="462">
        <v>45</v>
      </c>
    </row>
    <row r="171" spans="1:12" ht="12.75">
      <c r="A171" s="463">
        <v>45</v>
      </c>
      <c r="B171" s="462">
        <v>103</v>
      </c>
      <c r="C171" s="462">
        <v>86</v>
      </c>
      <c r="D171" s="462">
        <v>77</v>
      </c>
      <c r="E171" s="462">
        <v>73</v>
      </c>
      <c r="F171" s="462">
        <v>67</v>
      </c>
      <c r="G171" s="462">
        <v>65</v>
      </c>
      <c r="H171" s="462">
        <v>62</v>
      </c>
      <c r="I171" s="462">
        <v>57</v>
      </c>
      <c r="J171" s="462">
        <v>55</v>
      </c>
      <c r="K171" s="462">
        <v>51</v>
      </c>
      <c r="L171" s="462">
        <v>49</v>
      </c>
    </row>
    <row r="172" spans="1:12" ht="12.75">
      <c r="A172" s="463">
        <v>50</v>
      </c>
      <c r="B172" s="462">
        <v>108</v>
      </c>
      <c r="C172" s="462">
        <v>90</v>
      </c>
      <c r="D172" s="462">
        <v>81</v>
      </c>
      <c r="E172" s="462">
        <v>79</v>
      </c>
      <c r="F172" s="462">
        <v>72</v>
      </c>
      <c r="G172" s="462">
        <v>70</v>
      </c>
      <c r="H172" s="462">
        <v>66</v>
      </c>
      <c r="I172" s="462">
        <v>62</v>
      </c>
      <c r="J172" s="462">
        <v>58</v>
      </c>
      <c r="K172" s="462">
        <v>56</v>
      </c>
      <c r="L172" s="462">
        <v>52</v>
      </c>
    </row>
    <row r="173" spans="1:12" ht="12.75">
      <c r="A173" s="463">
        <v>55</v>
      </c>
      <c r="B173" s="462">
        <v>113</v>
      </c>
      <c r="C173" s="462">
        <v>94</v>
      </c>
      <c r="D173" s="462">
        <v>84</v>
      </c>
      <c r="E173" s="462">
        <v>82</v>
      </c>
      <c r="F173" s="462">
        <v>77</v>
      </c>
      <c r="G173" s="462">
        <v>75</v>
      </c>
      <c r="H173" s="462">
        <v>71</v>
      </c>
      <c r="I173" s="462">
        <v>66</v>
      </c>
      <c r="J173" s="462">
        <v>61</v>
      </c>
      <c r="K173" s="462">
        <v>58</v>
      </c>
      <c r="L173" s="462">
        <v>56</v>
      </c>
    </row>
    <row r="174" spans="1:12" ht="12.75">
      <c r="A174" s="463">
        <v>60</v>
      </c>
      <c r="B174" s="462">
        <v>119</v>
      </c>
      <c r="C174" s="462">
        <v>99</v>
      </c>
      <c r="D174" s="462">
        <v>88</v>
      </c>
      <c r="E174" s="462">
        <v>86</v>
      </c>
      <c r="F174" s="462">
        <v>80</v>
      </c>
      <c r="G174" s="462">
        <v>78</v>
      </c>
      <c r="H174" s="462">
        <v>75</v>
      </c>
      <c r="I174" s="462">
        <v>70</v>
      </c>
      <c r="J174" s="462">
        <v>64</v>
      </c>
      <c r="K174" s="462">
        <v>62</v>
      </c>
      <c r="L174" s="462">
        <v>59</v>
      </c>
    </row>
    <row r="175" spans="1:12" ht="12.75">
      <c r="A175" s="463">
        <v>65</v>
      </c>
      <c r="B175" s="462">
        <v>124</v>
      </c>
      <c r="C175" s="462">
        <v>104</v>
      </c>
      <c r="D175" s="462">
        <v>92</v>
      </c>
      <c r="E175" s="462">
        <v>90</v>
      </c>
      <c r="F175" s="462">
        <v>83</v>
      </c>
      <c r="G175" s="462">
        <v>81</v>
      </c>
      <c r="H175" s="462">
        <v>79</v>
      </c>
      <c r="I175" s="462">
        <v>74</v>
      </c>
      <c r="J175" s="462">
        <v>68</v>
      </c>
      <c r="K175" s="462">
        <v>65</v>
      </c>
      <c r="L175" s="462">
        <v>62</v>
      </c>
    </row>
    <row r="176" spans="1:12" ht="12.75">
      <c r="A176" s="463">
        <v>70</v>
      </c>
      <c r="B176" s="462">
        <v>128</v>
      </c>
      <c r="C176" s="462">
        <v>107</v>
      </c>
      <c r="D176" s="462">
        <v>95</v>
      </c>
      <c r="E176" s="462">
        <v>92</v>
      </c>
      <c r="F176" s="462">
        <v>86</v>
      </c>
      <c r="G176" s="462">
        <v>84</v>
      </c>
      <c r="H176" s="462">
        <v>82</v>
      </c>
      <c r="I176" s="462">
        <v>77</v>
      </c>
      <c r="J176" s="462">
        <v>71</v>
      </c>
      <c r="K176" s="462">
        <v>68</v>
      </c>
      <c r="L176" s="462">
        <v>65</v>
      </c>
    </row>
    <row r="177" spans="1:12" ht="12.75">
      <c r="A177" s="463">
        <v>75</v>
      </c>
      <c r="B177" s="462">
        <v>132</v>
      </c>
      <c r="C177" s="462">
        <v>110</v>
      </c>
      <c r="D177" s="462">
        <v>98</v>
      </c>
      <c r="E177" s="462">
        <v>95</v>
      </c>
      <c r="F177" s="462">
        <v>89</v>
      </c>
      <c r="G177" s="462">
        <v>87</v>
      </c>
      <c r="H177" s="462">
        <v>85</v>
      </c>
      <c r="I177" s="462">
        <v>80</v>
      </c>
      <c r="J177" s="462">
        <v>73</v>
      </c>
      <c r="K177" s="462">
        <v>70</v>
      </c>
      <c r="L177" s="462">
        <v>67</v>
      </c>
    </row>
    <row r="178" spans="1:12" ht="12.75">
      <c r="A178" s="463">
        <v>80</v>
      </c>
      <c r="B178" s="462">
        <v>137</v>
      </c>
      <c r="C178" s="462">
        <v>114</v>
      </c>
      <c r="D178" s="462">
        <v>102</v>
      </c>
      <c r="E178" s="462">
        <v>99</v>
      </c>
      <c r="F178" s="462">
        <v>93</v>
      </c>
      <c r="G178" s="462">
        <v>91</v>
      </c>
      <c r="H178" s="462">
        <v>88</v>
      </c>
      <c r="I178" s="462">
        <v>83</v>
      </c>
      <c r="J178" s="462">
        <v>75</v>
      </c>
      <c r="K178" s="462">
        <v>71</v>
      </c>
      <c r="L178" s="462">
        <v>68</v>
      </c>
    </row>
    <row r="179" spans="1:12" ht="12.75">
      <c r="A179" s="463">
        <v>85</v>
      </c>
      <c r="B179" s="462">
        <v>139</v>
      </c>
      <c r="C179" s="462">
        <v>116</v>
      </c>
      <c r="D179" s="462">
        <v>105</v>
      </c>
      <c r="E179" s="462">
        <v>102</v>
      </c>
      <c r="F179" s="462">
        <v>96</v>
      </c>
      <c r="G179" s="462">
        <v>94</v>
      </c>
      <c r="H179" s="462">
        <v>90</v>
      </c>
      <c r="I179" s="462">
        <v>85</v>
      </c>
      <c r="J179" s="462">
        <v>77</v>
      </c>
      <c r="K179" s="462">
        <v>73</v>
      </c>
      <c r="L179" s="462">
        <v>71</v>
      </c>
    </row>
    <row r="180" spans="1:12" ht="12.75">
      <c r="A180" s="463">
        <v>90</v>
      </c>
      <c r="B180" s="462">
        <v>147</v>
      </c>
      <c r="C180" s="462">
        <v>123</v>
      </c>
      <c r="D180" s="462">
        <v>109</v>
      </c>
      <c r="E180" s="462">
        <v>106</v>
      </c>
      <c r="F180" s="462">
        <v>100</v>
      </c>
      <c r="G180" s="462">
        <v>98</v>
      </c>
      <c r="H180" s="462">
        <v>93</v>
      </c>
      <c r="I180" s="462">
        <v>89</v>
      </c>
      <c r="J180" s="462">
        <v>81</v>
      </c>
      <c r="K180" s="462">
        <v>77</v>
      </c>
      <c r="L180" s="462">
        <v>74</v>
      </c>
    </row>
    <row r="181" spans="1:12" ht="12.75">
      <c r="A181" s="463">
        <v>95</v>
      </c>
      <c r="B181" s="462">
        <v>151</v>
      </c>
      <c r="C181" s="462">
        <v>126</v>
      </c>
      <c r="D181" s="462">
        <v>112</v>
      </c>
      <c r="E181" s="462">
        <v>109</v>
      </c>
      <c r="F181" s="462">
        <v>103</v>
      </c>
      <c r="G181" s="462">
        <v>101</v>
      </c>
      <c r="H181" s="462">
        <v>96</v>
      </c>
      <c r="I181" s="462">
        <v>92</v>
      </c>
      <c r="J181" s="462">
        <v>84</v>
      </c>
      <c r="K181" s="462">
        <v>80</v>
      </c>
      <c r="L181" s="462">
        <v>76</v>
      </c>
    </row>
    <row r="182" spans="1:12" ht="12.75">
      <c r="A182" s="463">
        <v>100</v>
      </c>
      <c r="B182" s="462">
        <v>155</v>
      </c>
      <c r="C182" s="462">
        <v>129</v>
      </c>
      <c r="D182" s="462">
        <v>114</v>
      </c>
      <c r="E182" s="462">
        <v>112</v>
      </c>
      <c r="F182" s="462">
        <v>106</v>
      </c>
      <c r="G182" s="462">
        <v>104</v>
      </c>
      <c r="H182" s="462">
        <v>99</v>
      </c>
      <c r="I182" s="462">
        <v>95</v>
      </c>
      <c r="J182" s="462">
        <v>86</v>
      </c>
      <c r="K182" s="462">
        <v>82</v>
      </c>
      <c r="L182" s="462">
        <v>78</v>
      </c>
    </row>
    <row r="183" spans="1:12" ht="12.75">
      <c r="A183" s="463">
        <v>105</v>
      </c>
      <c r="B183" s="462">
        <v>160</v>
      </c>
      <c r="C183" s="462">
        <v>133</v>
      </c>
      <c r="D183" s="462">
        <v>118</v>
      </c>
      <c r="E183" s="462">
        <v>116</v>
      </c>
      <c r="F183" s="462">
        <v>110</v>
      </c>
      <c r="G183" s="462">
        <v>108</v>
      </c>
      <c r="H183" s="462">
        <v>103</v>
      </c>
      <c r="I183" s="462">
        <v>97</v>
      </c>
      <c r="J183" s="462">
        <v>87</v>
      </c>
      <c r="K183" s="462">
        <v>83</v>
      </c>
      <c r="L183" s="462">
        <v>79</v>
      </c>
    </row>
    <row r="184" spans="1:12" ht="12.75">
      <c r="A184" s="463">
        <v>110</v>
      </c>
      <c r="B184" s="462">
        <v>165</v>
      </c>
      <c r="C184" s="462">
        <v>138</v>
      </c>
      <c r="D184" s="462">
        <v>122</v>
      </c>
      <c r="E184" s="462">
        <v>119</v>
      </c>
      <c r="F184" s="462">
        <v>113</v>
      </c>
      <c r="G184" s="462">
        <v>111</v>
      </c>
      <c r="H184" s="462">
        <v>107</v>
      </c>
      <c r="I184" s="462">
        <v>101</v>
      </c>
      <c r="J184" s="462">
        <v>91</v>
      </c>
      <c r="K184" s="462">
        <v>87</v>
      </c>
      <c r="L184" s="462">
        <v>83</v>
      </c>
    </row>
    <row r="185" spans="1:12" ht="12.75">
      <c r="A185" s="463">
        <v>115</v>
      </c>
      <c r="B185" s="462">
        <v>167</v>
      </c>
      <c r="C185" s="462">
        <v>139</v>
      </c>
      <c r="D185" s="462">
        <v>124</v>
      </c>
      <c r="E185" s="462">
        <v>121</v>
      </c>
      <c r="F185" s="462">
        <v>115</v>
      </c>
      <c r="G185" s="462">
        <v>113</v>
      </c>
      <c r="H185" s="462">
        <v>109</v>
      </c>
      <c r="I185" s="462">
        <v>104</v>
      </c>
      <c r="J185" s="462">
        <v>94</v>
      </c>
      <c r="K185" s="462">
        <v>90</v>
      </c>
      <c r="L185" s="462">
        <v>87</v>
      </c>
    </row>
    <row r="186" spans="1:12" ht="12.75">
      <c r="A186" s="463">
        <v>120</v>
      </c>
      <c r="B186" s="462">
        <v>173</v>
      </c>
      <c r="C186" s="462">
        <v>144</v>
      </c>
      <c r="D186" s="462">
        <v>127</v>
      </c>
      <c r="E186" s="462">
        <v>125</v>
      </c>
      <c r="F186" s="462">
        <v>119</v>
      </c>
      <c r="G186" s="462">
        <v>117</v>
      </c>
      <c r="H186" s="462">
        <v>112</v>
      </c>
      <c r="I186" s="462">
        <v>106</v>
      </c>
      <c r="J186" s="462">
        <v>97</v>
      </c>
      <c r="K186" s="462">
        <v>92</v>
      </c>
      <c r="L186" s="462">
        <v>89</v>
      </c>
    </row>
    <row r="187" spans="1:12" ht="12.75">
      <c r="A187" s="463">
        <v>125</v>
      </c>
      <c r="B187" s="462">
        <v>177</v>
      </c>
      <c r="C187" s="462">
        <v>148</v>
      </c>
      <c r="D187" s="462">
        <v>130</v>
      </c>
      <c r="E187" s="462">
        <v>128</v>
      </c>
      <c r="F187" s="462">
        <v>123</v>
      </c>
      <c r="G187" s="462">
        <v>121</v>
      </c>
      <c r="H187" s="462">
        <v>115</v>
      </c>
      <c r="I187" s="462">
        <v>108</v>
      </c>
      <c r="J187" s="462">
        <v>99</v>
      </c>
      <c r="K187" s="462">
        <v>95</v>
      </c>
      <c r="L187" s="462">
        <v>91</v>
      </c>
    </row>
    <row r="188" spans="1:12" ht="12.75">
      <c r="A188" s="463">
        <v>130</v>
      </c>
      <c r="B188" s="462">
        <v>182</v>
      </c>
      <c r="C188" s="462">
        <v>151</v>
      </c>
      <c r="D188" s="462">
        <v>133</v>
      </c>
      <c r="E188" s="462">
        <v>131</v>
      </c>
      <c r="F188" s="462">
        <v>126</v>
      </c>
      <c r="G188" s="462">
        <v>124</v>
      </c>
      <c r="H188" s="462">
        <v>118</v>
      </c>
      <c r="I188" s="462">
        <v>111</v>
      </c>
      <c r="J188" s="462">
        <v>101</v>
      </c>
      <c r="K188" s="462">
        <v>97</v>
      </c>
      <c r="L188" s="462">
        <v>94</v>
      </c>
    </row>
    <row r="189" spans="1:12" ht="12.75">
      <c r="A189" s="463">
        <v>135</v>
      </c>
      <c r="B189" s="462">
        <v>185</v>
      </c>
      <c r="C189" s="462">
        <v>154</v>
      </c>
      <c r="D189" s="462">
        <v>136</v>
      </c>
      <c r="E189" s="462">
        <v>134</v>
      </c>
      <c r="F189" s="462">
        <v>128</v>
      </c>
      <c r="G189" s="462">
        <v>126</v>
      </c>
      <c r="H189" s="462">
        <v>121</v>
      </c>
      <c r="I189" s="462">
        <v>114</v>
      </c>
      <c r="J189" s="462">
        <v>105</v>
      </c>
      <c r="K189" s="462">
        <v>101</v>
      </c>
      <c r="L189" s="462">
        <v>98</v>
      </c>
    </row>
    <row r="190" spans="1:12" ht="12.75">
      <c r="A190" s="463">
        <v>140</v>
      </c>
      <c r="B190" s="462">
        <v>189</v>
      </c>
      <c r="C190" s="462">
        <v>157</v>
      </c>
      <c r="D190" s="462">
        <v>139</v>
      </c>
      <c r="E190" s="462">
        <v>137</v>
      </c>
      <c r="F190" s="462">
        <v>131</v>
      </c>
      <c r="G190" s="462">
        <v>129</v>
      </c>
      <c r="H190" s="462">
        <v>124</v>
      </c>
      <c r="I190" s="462">
        <v>117</v>
      </c>
      <c r="J190" s="462">
        <v>107</v>
      </c>
      <c r="K190" s="462">
        <v>104</v>
      </c>
      <c r="L190" s="462">
        <v>100</v>
      </c>
    </row>
    <row r="191" spans="1:12" ht="12.75">
      <c r="A191" s="463">
        <v>145</v>
      </c>
      <c r="B191" s="462">
        <v>194</v>
      </c>
      <c r="C191" s="462">
        <v>161</v>
      </c>
      <c r="D191" s="462">
        <v>142</v>
      </c>
      <c r="E191" s="462">
        <v>140</v>
      </c>
      <c r="F191" s="462">
        <v>135</v>
      </c>
      <c r="G191" s="462">
        <v>133</v>
      </c>
      <c r="H191" s="462">
        <v>127</v>
      </c>
      <c r="I191" s="462">
        <v>120</v>
      </c>
      <c r="J191" s="462">
        <v>109</v>
      </c>
      <c r="K191" s="462">
        <v>105</v>
      </c>
      <c r="L191" s="462">
        <v>102</v>
      </c>
    </row>
    <row r="192" spans="1:12" ht="12.75">
      <c r="A192" s="463">
        <v>150</v>
      </c>
      <c r="B192" s="462">
        <v>198</v>
      </c>
      <c r="C192" s="462">
        <v>165</v>
      </c>
      <c r="D192" s="462">
        <v>145</v>
      </c>
      <c r="E192" s="462">
        <v>143</v>
      </c>
      <c r="F192" s="462">
        <v>138</v>
      </c>
      <c r="G192" s="462">
        <v>136</v>
      </c>
      <c r="H192" s="462">
        <v>131</v>
      </c>
      <c r="I192" s="462">
        <v>123</v>
      </c>
      <c r="J192" s="462">
        <v>112</v>
      </c>
      <c r="K192" s="462">
        <v>108</v>
      </c>
      <c r="L192" s="462">
        <v>104</v>
      </c>
    </row>
    <row r="193" spans="1:12" ht="12.75">
      <c r="A193" s="463">
        <v>155</v>
      </c>
      <c r="B193" s="462">
        <v>202</v>
      </c>
      <c r="C193" s="462">
        <v>169</v>
      </c>
      <c r="D193" s="462">
        <v>148</v>
      </c>
      <c r="E193" s="462">
        <v>146</v>
      </c>
      <c r="F193" s="462">
        <v>142</v>
      </c>
      <c r="G193" s="462">
        <v>140</v>
      </c>
      <c r="H193" s="462">
        <v>134</v>
      </c>
      <c r="I193" s="462">
        <v>125</v>
      </c>
      <c r="J193" s="462">
        <v>115</v>
      </c>
      <c r="K193" s="462">
        <v>111</v>
      </c>
      <c r="L193" s="462">
        <v>106</v>
      </c>
    </row>
    <row r="194" spans="1:12" ht="12.75">
      <c r="A194" s="463">
        <v>160</v>
      </c>
      <c r="B194" s="462">
        <v>207</v>
      </c>
      <c r="C194" s="462">
        <v>172</v>
      </c>
      <c r="D194" s="462">
        <v>151</v>
      </c>
      <c r="E194" s="462">
        <v>149</v>
      </c>
      <c r="F194" s="462">
        <v>145</v>
      </c>
      <c r="G194" s="462">
        <v>143</v>
      </c>
      <c r="H194" s="462">
        <v>137</v>
      </c>
      <c r="I194" s="462">
        <v>128</v>
      </c>
      <c r="J194" s="462">
        <v>117</v>
      </c>
      <c r="K194" s="462">
        <v>112</v>
      </c>
      <c r="L194" s="462">
        <v>108</v>
      </c>
    </row>
    <row r="195" spans="1:12" ht="12.75">
      <c r="A195" s="463">
        <v>165</v>
      </c>
      <c r="B195" s="462">
        <v>210</v>
      </c>
      <c r="C195" s="462">
        <v>175</v>
      </c>
      <c r="D195" s="462">
        <v>153</v>
      </c>
      <c r="E195" s="462">
        <v>151</v>
      </c>
      <c r="F195" s="462">
        <v>148</v>
      </c>
      <c r="G195" s="462">
        <v>146</v>
      </c>
      <c r="H195" s="462">
        <v>140</v>
      </c>
      <c r="I195" s="462">
        <v>131</v>
      </c>
      <c r="J195" s="462">
        <v>119</v>
      </c>
      <c r="K195" s="462">
        <v>114</v>
      </c>
      <c r="L195" s="462">
        <v>110</v>
      </c>
    </row>
    <row r="196" spans="1:12" ht="12.75">
      <c r="A196" s="463">
        <v>170</v>
      </c>
      <c r="B196" s="462">
        <v>212</v>
      </c>
      <c r="C196" s="462">
        <v>177</v>
      </c>
      <c r="D196" s="462">
        <v>155</v>
      </c>
      <c r="E196" s="462">
        <v>153</v>
      </c>
      <c r="F196" s="462">
        <v>150</v>
      </c>
      <c r="G196" s="462">
        <v>148</v>
      </c>
      <c r="H196" s="462">
        <v>142</v>
      </c>
      <c r="I196" s="462">
        <v>133</v>
      </c>
      <c r="J196" s="462">
        <v>122</v>
      </c>
      <c r="K196" s="462">
        <v>116</v>
      </c>
      <c r="L196" s="462">
        <v>112</v>
      </c>
    </row>
    <row r="197" spans="1:12" ht="12.75">
      <c r="A197" s="463">
        <v>175</v>
      </c>
      <c r="B197" s="462">
        <v>215</v>
      </c>
      <c r="C197" s="462">
        <v>179</v>
      </c>
      <c r="D197" s="462">
        <v>157</v>
      </c>
      <c r="E197" s="462">
        <v>155</v>
      </c>
      <c r="F197" s="462">
        <v>152</v>
      </c>
      <c r="G197" s="462">
        <v>150</v>
      </c>
      <c r="H197" s="462">
        <v>144</v>
      </c>
      <c r="I197" s="462">
        <v>135</v>
      </c>
      <c r="J197" s="462">
        <v>124</v>
      </c>
      <c r="K197" s="462">
        <v>118</v>
      </c>
      <c r="L197" s="462">
        <v>114</v>
      </c>
    </row>
    <row r="198" spans="1:12" ht="12.75">
      <c r="A198" s="463">
        <v>180</v>
      </c>
      <c r="B198" s="462">
        <v>217</v>
      </c>
      <c r="C198" s="462">
        <v>181</v>
      </c>
      <c r="D198" s="462">
        <v>159</v>
      </c>
      <c r="E198" s="462">
        <v>157</v>
      </c>
      <c r="F198" s="462">
        <v>154</v>
      </c>
      <c r="G198" s="462">
        <v>152</v>
      </c>
      <c r="H198" s="462">
        <v>146</v>
      </c>
      <c r="I198" s="462">
        <v>136</v>
      </c>
      <c r="J198" s="462">
        <v>125</v>
      </c>
      <c r="K198" s="462">
        <v>120</v>
      </c>
      <c r="L198" s="462">
        <v>116</v>
      </c>
    </row>
    <row r="199" spans="1:12" ht="12.75">
      <c r="A199" s="463">
        <v>185</v>
      </c>
      <c r="B199" s="462">
        <v>219</v>
      </c>
      <c r="C199" s="462">
        <v>182</v>
      </c>
      <c r="D199" s="462">
        <v>160</v>
      </c>
      <c r="E199" s="462">
        <v>158</v>
      </c>
      <c r="F199" s="462">
        <v>154</v>
      </c>
      <c r="G199" s="462">
        <v>153</v>
      </c>
      <c r="H199" s="462">
        <v>147</v>
      </c>
      <c r="I199" s="462">
        <v>137</v>
      </c>
      <c r="J199" s="462">
        <v>127</v>
      </c>
      <c r="K199" s="462">
        <v>122</v>
      </c>
      <c r="L199" s="462">
        <v>117</v>
      </c>
    </row>
    <row r="200" spans="1:12" ht="12.75">
      <c r="A200" s="463">
        <v>190</v>
      </c>
      <c r="B200" s="462">
        <v>221</v>
      </c>
      <c r="C200" s="462">
        <v>185</v>
      </c>
      <c r="D200" s="462">
        <v>162</v>
      </c>
      <c r="E200" s="462">
        <v>160</v>
      </c>
      <c r="F200" s="462">
        <v>157</v>
      </c>
      <c r="G200" s="462">
        <v>155</v>
      </c>
      <c r="H200" s="462">
        <v>149</v>
      </c>
      <c r="I200" s="462">
        <v>139</v>
      </c>
      <c r="J200" s="462">
        <v>129</v>
      </c>
      <c r="K200" s="462">
        <v>124</v>
      </c>
      <c r="L200" s="462">
        <v>119</v>
      </c>
    </row>
    <row r="201" spans="1:12" ht="12.75">
      <c r="A201" s="463">
        <v>195</v>
      </c>
      <c r="B201" s="462">
        <v>223</v>
      </c>
      <c r="C201" s="462">
        <v>187</v>
      </c>
      <c r="D201" s="462">
        <v>165</v>
      </c>
      <c r="E201" s="462">
        <v>163</v>
      </c>
      <c r="F201" s="462">
        <v>159</v>
      </c>
      <c r="G201" s="462">
        <v>157</v>
      </c>
      <c r="H201" s="462">
        <v>151</v>
      </c>
      <c r="I201" s="462">
        <v>142</v>
      </c>
      <c r="J201" s="462">
        <v>131</v>
      </c>
      <c r="K201" s="462">
        <v>126</v>
      </c>
      <c r="L201" s="462">
        <v>121</v>
      </c>
    </row>
    <row r="202" spans="1:12" ht="12.75">
      <c r="A202" s="463">
        <v>200</v>
      </c>
      <c r="B202" s="462">
        <v>226</v>
      </c>
      <c r="C202" s="462">
        <v>189</v>
      </c>
      <c r="D202" s="462">
        <v>167</v>
      </c>
      <c r="E202" s="462">
        <v>165</v>
      </c>
      <c r="F202" s="462">
        <v>161</v>
      </c>
      <c r="G202" s="462">
        <v>159</v>
      </c>
      <c r="H202" s="462">
        <v>154</v>
      </c>
      <c r="I202" s="462">
        <v>144</v>
      </c>
      <c r="J202" s="462">
        <v>134</v>
      </c>
      <c r="K202" s="462">
        <v>128</v>
      </c>
      <c r="L202" s="462">
        <v>124</v>
      </c>
    </row>
    <row r="203" spans="1:12" ht="12.75">
      <c r="A203" s="469"/>
      <c r="B203" s="462">
        <v>0</v>
      </c>
      <c r="C203" s="462">
        <v>0</v>
      </c>
      <c r="D203" s="462">
        <v>0</v>
      </c>
      <c r="E203" s="462">
        <v>0</v>
      </c>
      <c r="F203" s="462">
        <v>0</v>
      </c>
      <c r="G203" s="462">
        <v>0</v>
      </c>
      <c r="H203" s="462">
        <v>0</v>
      </c>
      <c r="I203" s="462">
        <v>0</v>
      </c>
      <c r="J203" s="462">
        <v>0</v>
      </c>
      <c r="K203" s="462">
        <v>0</v>
      </c>
      <c r="L203" s="462">
        <v>0</v>
      </c>
    </row>
  </sheetData>
  <sheetProtection password="E4A4" sheet="1" objects="1" scenarios="1" selectLockedCells="1" selectUnlockedCells="1"/>
  <mergeCells count="4">
    <mergeCell ref="C164:I164"/>
    <mergeCell ref="J164:L164"/>
    <mergeCell ref="C123:I123"/>
    <mergeCell ref="J123:L123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2.8515625" style="447" customWidth="1"/>
    <col min="2" max="2" width="55.7109375" style="447" customWidth="1"/>
    <col min="3" max="3" width="65.57421875" style="447" customWidth="1"/>
    <col min="4" max="16384" width="9.140625" style="447" customWidth="1"/>
  </cols>
  <sheetData>
    <row r="1" ht="12.75">
      <c r="A1" s="446" t="s">
        <v>309</v>
      </c>
    </row>
    <row r="3" spans="1:3" s="446" customFormat="1" ht="12.75">
      <c r="A3" s="450" t="s">
        <v>0</v>
      </c>
      <c r="B3" s="446" t="s">
        <v>310</v>
      </c>
      <c r="C3" s="446" t="s">
        <v>311</v>
      </c>
    </row>
    <row r="4" spans="1:3" ht="47.25" customHeight="1">
      <c r="A4" s="449">
        <v>41274</v>
      </c>
      <c r="B4" s="448" t="s">
        <v>312</v>
      </c>
      <c r="C4" s="448" t="s">
        <v>313</v>
      </c>
    </row>
    <row r="5" spans="1:3" ht="12.75">
      <c r="A5" s="449">
        <v>40911</v>
      </c>
      <c r="B5" s="448" t="s">
        <v>314</v>
      </c>
      <c r="C5" s="448" t="s">
        <v>315</v>
      </c>
    </row>
    <row r="6" spans="1:3" ht="38.25">
      <c r="A6" s="449">
        <v>40912</v>
      </c>
      <c r="B6" s="447" t="s">
        <v>316</v>
      </c>
      <c r="C6" s="447" t="s">
        <v>317</v>
      </c>
    </row>
    <row r="7" spans="1:3" ht="25.5">
      <c r="A7" s="449">
        <v>41289</v>
      </c>
      <c r="B7" s="489" t="s">
        <v>318</v>
      </c>
      <c r="C7" s="489" t="s">
        <v>319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3:X55"/>
  <sheetViews>
    <sheetView showGridLines="0" zoomScale="90" zoomScaleNormal="90" zoomScalePageLayoutView="0" workbookViewId="0" topLeftCell="B4">
      <selection activeCell="E5" sqref="E5"/>
    </sheetView>
  </sheetViews>
  <sheetFormatPr defaultColWidth="9.140625" defaultRowHeight="12.75"/>
  <cols>
    <col min="1" max="1" width="3.00390625" style="3" hidden="1" customWidth="1"/>
    <col min="2" max="2" width="12.8515625" style="3" customWidth="1"/>
    <col min="3" max="4" width="10.421875" style="3" customWidth="1"/>
    <col min="5" max="5" width="13.28125" style="3" customWidth="1"/>
    <col min="6" max="6" width="14.28125" style="3" customWidth="1"/>
    <col min="7" max="7" width="13.7109375" style="5" hidden="1" customWidth="1"/>
    <col min="8" max="8" width="9.57421875" style="5" customWidth="1"/>
    <col min="9" max="9" width="46.421875" style="5" customWidth="1"/>
    <col min="10" max="10" width="9.8515625" style="3" hidden="1" customWidth="1"/>
    <col min="11" max="11" width="10.57421875" style="13" hidden="1" customWidth="1"/>
    <col min="12" max="12" width="10.7109375" style="13" hidden="1" customWidth="1"/>
    <col min="13" max="13" width="3.00390625" style="3" hidden="1" customWidth="1"/>
    <col min="14" max="15" width="35.57421875" style="3" hidden="1" customWidth="1"/>
    <col min="16" max="16" width="32.57421875" style="4" hidden="1" customWidth="1"/>
    <col min="17" max="17" width="9.140625" style="3" hidden="1" customWidth="1"/>
    <col min="18" max="19" width="9.28125" style="3" hidden="1" customWidth="1"/>
    <col min="20" max="20" width="2.00390625" style="3" hidden="1" customWidth="1"/>
    <col min="21" max="21" width="9.140625" style="3" hidden="1" customWidth="1"/>
    <col min="22" max="16384" width="9.140625" style="3" customWidth="1"/>
  </cols>
  <sheetData>
    <row r="3" spans="3:9" ht="26.25">
      <c r="C3" s="509" t="str">
        <f ca="1">IF(ISBLANK(B11),TEXT(TODAY()-DAY(TODAY()),"MMMM, yyyy"),B11)</f>
        <v>December, 2013</v>
      </c>
      <c r="D3" s="509"/>
      <c r="E3" s="509"/>
      <c r="F3" s="149" t="s">
        <v>116</v>
      </c>
      <c r="I3" s="145"/>
    </row>
    <row r="4" ht="14.25" thickBot="1">
      <c r="J4" s="6"/>
    </row>
    <row r="5" spans="4:17" ht="17.25" thickBot="1">
      <c r="D5" s="7" t="s">
        <v>117</v>
      </c>
      <c r="E5" s="82"/>
      <c r="F5" s="7" t="s">
        <v>6</v>
      </c>
      <c r="H5" s="82"/>
      <c r="M5" s="23"/>
      <c r="N5" s="23" t="s">
        <v>65</v>
      </c>
      <c r="O5" s="25" t="s">
        <v>66</v>
      </c>
      <c r="P5" s="28" t="s">
        <v>69</v>
      </c>
      <c r="Q5" s="3" t="s">
        <v>92</v>
      </c>
    </row>
    <row r="6" spans="10:17" ht="13.5">
      <c r="J6" s="6"/>
      <c r="M6" s="84"/>
      <c r="N6" s="264">
        <f>L11&amp;L12&amp;L13&amp;L14&amp;L15&amp;L16&amp;L17&amp;L18&amp;L19&amp;L20&amp;L21&amp;L22&amp;L23&amp;L24&amp;L25&amp;L26&amp;L27&amp;L28&amp;L29&amp;L30&amp;L31&amp;L32&amp;L33&amp;L34&amp;L35&amp;L36&amp;L37&amp;L38&amp;L39&amp;L40&amp;L41&amp;L42&amp;L43&amp;L44</f>
      </c>
      <c r="O6" s="265">
        <f>K11&amp;K12&amp;K13&amp;K14&amp;K15&amp;K16&amp;K17&amp;K18&amp;K19&amp;K20&amp;K21&amp;K22&amp;K23&amp;K24&amp;K25&amp;K26&amp;K27&amp;K28&amp;K29&amp;K30&amp;K31&amp;K32&amp;K33&amp;K34&amp;K35&amp;K36&amp;K37&amp;K38&amp;K39&amp;K40&amp;K41&amp;K42&amp;K43&amp;K44</f>
      </c>
      <c r="P6" s="266">
        <f>Q11&amp;Q12&amp;Q13&amp;Q14&amp;Q15&amp;Q16&amp;Q17&amp;Q18&amp;Q19&amp;Q20&amp;Q21&amp;Q22&amp;Q23&amp;Q24&amp;Q25&amp;Q26&amp;Q27&amp;Q28&amp;Q29&amp;Q30&amp;Q31&amp;Q32&amp;Q33&amp;Q34&amp;Q35&amp;Q36&amp;Q37&amp;Q38&amp;Q39&amp;Q40&amp;Q41&amp;Q42&amp;Q43</f>
      </c>
      <c r="Q6" s="267">
        <f>R11&amp;R12&amp;R13&amp;R14&amp;R15&amp;R16&amp;R17&amp;R18&amp;R19&amp;R20&amp;R21&amp;R22&amp;R23&amp;R24&amp;R25&amp;R26&amp;R27&amp;R28&amp;R29&amp;R30&amp;R31&amp;R32&amp;R33&amp;R34&amp;R35&amp;R36&amp;R37&amp;R38&amp;R39&amp;R40&amp;R41&amp;R42&amp;R43</f>
      </c>
    </row>
    <row r="7" spans="3:17" ht="16.5">
      <c r="C7" s="2"/>
      <c r="F7" s="8"/>
      <c r="G7" s="148"/>
      <c r="I7" s="355"/>
      <c r="J7" s="6"/>
      <c r="K7" s="8"/>
      <c r="L7" s="15"/>
      <c r="M7" s="85"/>
      <c r="N7" s="268" t="str">
        <f>CONCATENATE(N6,L45,L46,N47)</f>
        <v>000000</v>
      </c>
      <c r="O7" s="265">
        <f>CONCATENATE(O6,K45,K46)</f>
      </c>
      <c r="P7" s="266">
        <f>CONCATENATE(P6,Q44,Q45,Q46)</f>
      </c>
      <c r="Q7" s="471">
        <f>CONCATENATE(Q6,R44,R45,R46)</f>
      </c>
    </row>
    <row r="8" ht="13.5">
      <c r="J8" s="6"/>
    </row>
    <row r="9" spans="2:17" ht="15.75" thickBot="1">
      <c r="B9" s="9" t="s">
        <v>55</v>
      </c>
      <c r="J9" s="6"/>
      <c r="K9" s="20"/>
      <c r="L9" s="515" t="s">
        <v>60</v>
      </c>
      <c r="M9" s="2"/>
      <c r="N9" s="2"/>
      <c r="O9" s="2"/>
      <c r="Q9" s="510" t="s">
        <v>91</v>
      </c>
    </row>
    <row r="10" spans="2:18" s="5" customFormat="1" ht="41.25" thickBot="1">
      <c r="B10" s="130" t="s">
        <v>0</v>
      </c>
      <c r="C10" s="131" t="s">
        <v>97</v>
      </c>
      <c r="D10" s="131" t="s">
        <v>131</v>
      </c>
      <c r="E10" s="131" t="s">
        <v>118</v>
      </c>
      <c r="F10" s="106" t="s">
        <v>53</v>
      </c>
      <c r="G10" s="132" t="s">
        <v>102</v>
      </c>
      <c r="H10" s="106" t="s">
        <v>132</v>
      </c>
      <c r="I10" s="107" t="s">
        <v>308</v>
      </c>
      <c r="J10" s="21" t="s">
        <v>56</v>
      </c>
      <c r="K10" s="22" t="s">
        <v>64</v>
      </c>
      <c r="L10" s="516"/>
      <c r="M10" s="111"/>
      <c r="N10" s="24" t="s">
        <v>67</v>
      </c>
      <c r="Q10" s="511"/>
      <c r="R10" s="5" t="s">
        <v>95</v>
      </c>
    </row>
    <row r="11" spans="1:24" s="5" customFormat="1" ht="16.5" thickBot="1">
      <c r="A11" s="5">
        <f aca="true" t="shared" si="0" ref="A11:A46">DAY(B11)</f>
        <v>0</v>
      </c>
      <c r="B11" s="103"/>
      <c r="C11" s="104">
        <f>IF(ISBLANK(H5),"",H5)</f>
      </c>
      <c r="D11" s="105"/>
      <c r="E11" s="108"/>
      <c r="F11" s="154">
        <f>IF(ISNUMBER(D11),IF(ISNUMBER(E11),(E11-D11)-(G11+H11),0),IF(ISNUMBER(E11),(E11-E10)-(G11+H11),0))</f>
        <v>0</v>
      </c>
      <c r="G11" s="133"/>
      <c r="H11" s="94"/>
      <c r="I11" s="127"/>
      <c r="J11" s="11" t="b">
        <f aca="true" t="shared" si="1" ref="J11:J46">IF(AND((B11&lt;&gt;B10),F11&gt;0),TRUE,FALSE)</f>
        <v>0</v>
      </c>
      <c r="K11" s="14">
        <f aca="true" t="shared" si="2" ref="K11:K46">IF(ISNUMBER(C11),TEXT(D11,"000000"),"")</f>
      </c>
      <c r="L11" s="16">
        <f>IF(ISNUMBER(C12),TEXT(E11,"000000"),"")</f>
      </c>
      <c r="M11" s="18">
        <v>1</v>
      </c>
      <c r="N11" s="18">
        <f>IF(J11,,E11)</f>
        <v>0</v>
      </c>
      <c r="Q11" s="29">
        <f>IF(ISNUMBER(C11),TEXT(C11," 0000"),"")</f>
      </c>
      <c r="R11" s="472">
        <f>IF(ISNUMBER(C11),B11,"")</f>
      </c>
      <c r="X11" s="91"/>
    </row>
    <row r="12" spans="1:18" s="5" customFormat="1" ht="15.75">
      <c r="A12" s="5">
        <f t="shared" si="0"/>
        <v>0</v>
      </c>
      <c r="B12" s="103"/>
      <c r="C12" s="93"/>
      <c r="D12" s="94"/>
      <c r="E12" s="108"/>
      <c r="F12" s="154">
        <f aca="true" t="shared" si="3" ref="F12:F46">IF(ISNUMBER(D12),IF(ISNUMBER(E12),(E12-D12)-(G12+H12),0),IF(ISNUMBER(E12),(E12-E11)-(G12+H12),0))</f>
        <v>0</v>
      </c>
      <c r="G12" s="134"/>
      <c r="H12" s="95"/>
      <c r="I12" s="128"/>
      <c r="J12" s="11" t="b">
        <f t="shared" si="1"/>
        <v>0</v>
      </c>
      <c r="K12" s="14">
        <f t="shared" si="2"/>
      </c>
      <c r="L12" s="16">
        <f aca="true" t="shared" si="4" ref="L12:L47">IF(ISNUMBER(C13),TEXT(E12,"000000"),"")</f>
      </c>
      <c r="M12" s="18">
        <f aca="true" t="shared" si="5" ref="M12:M45">M11+IF(N12&gt;0,1,0)</f>
        <v>1</v>
      </c>
      <c r="N12" s="18">
        <f>IF(J12,,E11)</f>
        <v>0</v>
      </c>
      <c r="Q12" s="29">
        <f aca="true" t="shared" si="6" ref="Q12:Q46">IF(ISNUMBER(C12),TEXT(C12," 0000"),"")</f>
      </c>
      <c r="R12" s="472">
        <f aca="true" t="shared" si="7" ref="R12:R46">IF(ISNUMBER(C12),B12,"")</f>
      </c>
    </row>
    <row r="13" spans="1:18" s="5" customFormat="1" ht="15.75">
      <c r="A13" s="5">
        <f t="shared" si="0"/>
        <v>0</v>
      </c>
      <c r="B13" s="103"/>
      <c r="C13" s="93"/>
      <c r="D13" s="95"/>
      <c r="E13" s="108"/>
      <c r="F13" s="154">
        <f t="shared" si="3"/>
        <v>0</v>
      </c>
      <c r="G13" s="134"/>
      <c r="H13" s="95"/>
      <c r="I13" s="128"/>
      <c r="J13" s="11" t="b">
        <f t="shared" si="1"/>
        <v>0</v>
      </c>
      <c r="K13" s="14">
        <f t="shared" si="2"/>
      </c>
      <c r="L13" s="16">
        <f t="shared" si="4"/>
      </c>
      <c r="M13" s="18">
        <f t="shared" si="5"/>
        <v>1</v>
      </c>
      <c r="N13" s="18">
        <f aca="true" t="shared" si="8" ref="N13:N44">IF(J13,,E12)</f>
        <v>0</v>
      </c>
      <c r="O13" s="34"/>
      <c r="P13" s="35"/>
      <c r="Q13" s="29">
        <f t="shared" si="6"/>
      </c>
      <c r="R13" s="472">
        <f t="shared" si="7"/>
      </c>
    </row>
    <row r="14" spans="1:18" s="5" customFormat="1" ht="15.75">
      <c r="A14" s="5">
        <f t="shared" si="0"/>
        <v>0</v>
      </c>
      <c r="B14" s="103"/>
      <c r="C14" s="93"/>
      <c r="D14" s="95"/>
      <c r="E14" s="108"/>
      <c r="F14" s="154">
        <f t="shared" si="3"/>
        <v>0</v>
      </c>
      <c r="G14" s="134"/>
      <c r="H14" s="95"/>
      <c r="I14" s="128"/>
      <c r="J14" s="11" t="b">
        <f t="shared" si="1"/>
        <v>0</v>
      </c>
      <c r="K14" s="14">
        <f t="shared" si="2"/>
      </c>
      <c r="L14" s="16">
        <f t="shared" si="4"/>
      </c>
      <c r="M14" s="18">
        <f t="shared" si="5"/>
        <v>1</v>
      </c>
      <c r="N14" s="18">
        <f t="shared" si="8"/>
        <v>0</v>
      </c>
      <c r="O14" s="512" t="s">
        <v>68</v>
      </c>
      <c r="P14" s="512"/>
      <c r="Q14" s="29">
        <f t="shared" si="6"/>
      </c>
      <c r="R14" s="472">
        <f t="shared" si="7"/>
      </c>
    </row>
    <row r="15" spans="1:18" s="5" customFormat="1" ht="15.75">
      <c r="A15" s="5">
        <f t="shared" si="0"/>
        <v>0</v>
      </c>
      <c r="B15" s="103"/>
      <c r="C15" s="93"/>
      <c r="D15" s="95"/>
      <c r="E15" s="108"/>
      <c r="F15" s="154">
        <f t="shared" si="3"/>
        <v>0</v>
      </c>
      <c r="G15" s="134"/>
      <c r="H15" s="95"/>
      <c r="I15" s="128"/>
      <c r="J15" s="11" t="b">
        <f t="shared" si="1"/>
        <v>0</v>
      </c>
      <c r="K15" s="14">
        <f t="shared" si="2"/>
      </c>
      <c r="L15" s="16">
        <f t="shared" si="4"/>
      </c>
      <c r="M15" s="18">
        <f t="shared" si="5"/>
        <v>1</v>
      </c>
      <c r="N15" s="18">
        <f t="shared" si="8"/>
        <v>0</v>
      </c>
      <c r="O15" s="513"/>
      <c r="P15" s="513"/>
      <c r="Q15" s="29">
        <f t="shared" si="6"/>
      </c>
      <c r="R15" s="472">
        <f t="shared" si="7"/>
      </c>
    </row>
    <row r="16" spans="1:18" s="5" customFormat="1" ht="15.75">
      <c r="A16" s="5">
        <f t="shared" si="0"/>
        <v>0</v>
      </c>
      <c r="B16" s="103"/>
      <c r="C16" s="93"/>
      <c r="D16" s="95"/>
      <c r="E16" s="108"/>
      <c r="F16" s="154">
        <f t="shared" si="3"/>
        <v>0</v>
      </c>
      <c r="G16" s="134"/>
      <c r="H16" s="95"/>
      <c r="I16" s="128"/>
      <c r="J16" s="11" t="b">
        <f t="shared" si="1"/>
        <v>0</v>
      </c>
      <c r="K16" s="14">
        <f t="shared" si="2"/>
      </c>
      <c r="L16" s="16">
        <f t="shared" si="4"/>
      </c>
      <c r="M16" s="18">
        <f t="shared" si="5"/>
        <v>1</v>
      </c>
      <c r="N16" s="18">
        <f t="shared" si="8"/>
        <v>0</v>
      </c>
      <c r="O16" s="83">
        <f>D11</f>
        <v>0</v>
      </c>
      <c r="P16" s="26">
        <f>IF((LEN($N$7)&gt;5),VALUE(LEFT($N$7,6)),0)</f>
        <v>0</v>
      </c>
      <c r="Q16" s="29">
        <f t="shared" si="6"/>
      </c>
      <c r="R16" s="472">
        <f t="shared" si="7"/>
      </c>
    </row>
    <row r="17" spans="1:18" ht="15.75">
      <c r="A17" s="5">
        <f t="shared" si="0"/>
        <v>0</v>
      </c>
      <c r="B17" s="103"/>
      <c r="C17" s="93"/>
      <c r="D17" s="96"/>
      <c r="E17" s="108"/>
      <c r="F17" s="154">
        <f t="shared" si="3"/>
        <v>0</v>
      </c>
      <c r="G17" s="134"/>
      <c r="H17" s="95"/>
      <c r="I17" s="128"/>
      <c r="J17" s="11" t="b">
        <f t="shared" si="1"/>
        <v>0</v>
      </c>
      <c r="K17" s="14">
        <f t="shared" si="2"/>
      </c>
      <c r="L17" s="16">
        <f>IF(ISNUMBER(C18),TEXT(E17,"000000"),"")</f>
      </c>
      <c r="M17" s="18">
        <f t="shared" si="5"/>
        <v>1</v>
      </c>
      <c r="N17" s="18">
        <f t="shared" si="8"/>
        <v>0</v>
      </c>
      <c r="O17" s="27">
        <f>IF((LEN($O$7)&gt;11),VALUE(MID($O$7,7,6)),0)</f>
        <v>0</v>
      </c>
      <c r="P17" s="26">
        <f>IF((LEN($N$7)&gt;11),VALUE(MID($N$7,7,6)),0)</f>
        <v>0</v>
      </c>
      <c r="Q17" s="29">
        <f t="shared" si="6"/>
      </c>
      <c r="R17" s="472">
        <f t="shared" si="7"/>
      </c>
    </row>
    <row r="18" spans="1:18" ht="15.75">
      <c r="A18" s="5">
        <f t="shared" si="0"/>
        <v>0</v>
      </c>
      <c r="B18" s="103"/>
      <c r="C18" s="93"/>
      <c r="D18" s="96"/>
      <c r="E18" s="108"/>
      <c r="F18" s="154">
        <f t="shared" si="3"/>
        <v>0</v>
      </c>
      <c r="G18" s="134"/>
      <c r="H18" s="95"/>
      <c r="I18" s="128"/>
      <c r="J18" s="11" t="b">
        <f t="shared" si="1"/>
        <v>0</v>
      </c>
      <c r="K18" s="14">
        <f t="shared" si="2"/>
      </c>
      <c r="L18" s="16">
        <f t="shared" si="4"/>
      </c>
      <c r="M18" s="18">
        <f t="shared" si="5"/>
        <v>1</v>
      </c>
      <c r="N18" s="18">
        <f>IF(J18,,E17)</f>
        <v>0</v>
      </c>
      <c r="O18" s="27">
        <f>IF((LEN($O$7)&gt;17),VALUE(MID($O$7,13,6)),0)</f>
        <v>0</v>
      </c>
      <c r="P18" s="26">
        <f>IF((LEN($N$7)&gt;17),VALUE(MID($N$7,13,6)),0)</f>
        <v>0</v>
      </c>
      <c r="Q18" s="29">
        <f t="shared" si="6"/>
      </c>
      <c r="R18" s="472">
        <f t="shared" si="7"/>
      </c>
    </row>
    <row r="19" spans="1:18" ht="15.75">
      <c r="A19" s="5">
        <f t="shared" si="0"/>
        <v>0</v>
      </c>
      <c r="B19" s="103"/>
      <c r="C19" s="93"/>
      <c r="D19" s="96"/>
      <c r="E19" s="108"/>
      <c r="F19" s="154">
        <f t="shared" si="3"/>
        <v>0</v>
      </c>
      <c r="G19" s="134"/>
      <c r="H19" s="95"/>
      <c r="I19" s="128"/>
      <c r="J19" s="11" t="b">
        <f t="shared" si="1"/>
        <v>0</v>
      </c>
      <c r="K19" s="14">
        <f t="shared" si="2"/>
      </c>
      <c r="L19" s="16">
        <f t="shared" si="4"/>
      </c>
      <c r="M19" s="18">
        <f t="shared" si="5"/>
        <v>1</v>
      </c>
      <c r="N19" s="18">
        <f t="shared" si="8"/>
        <v>0</v>
      </c>
      <c r="O19" s="27">
        <f>IF((LEN($O$7)&gt;23),VALUE(MID($O$7,19,6)),0)</f>
        <v>0</v>
      </c>
      <c r="P19" s="26">
        <f>IF((LEN($N$7)&gt;23),VALUE(MID($N$7,19,6)),0)</f>
        <v>0</v>
      </c>
      <c r="Q19" s="29">
        <f t="shared" si="6"/>
      </c>
      <c r="R19" s="472">
        <f t="shared" si="7"/>
      </c>
    </row>
    <row r="20" spans="1:18" ht="15.75">
      <c r="A20" s="5">
        <f t="shared" si="0"/>
        <v>0</v>
      </c>
      <c r="B20" s="103"/>
      <c r="C20" s="93"/>
      <c r="D20" s="96"/>
      <c r="E20" s="108"/>
      <c r="F20" s="154">
        <f t="shared" si="3"/>
        <v>0</v>
      </c>
      <c r="G20" s="134"/>
      <c r="H20" s="95"/>
      <c r="I20" s="128"/>
      <c r="J20" s="11" t="b">
        <f t="shared" si="1"/>
        <v>0</v>
      </c>
      <c r="K20" s="14">
        <f t="shared" si="2"/>
      </c>
      <c r="L20" s="16">
        <f t="shared" si="4"/>
      </c>
      <c r="M20" s="18">
        <f t="shared" si="5"/>
        <v>1</v>
      </c>
      <c r="N20" s="18">
        <f t="shared" si="8"/>
        <v>0</v>
      </c>
      <c r="O20" s="27">
        <f>IF((LEN($O$7)&gt;29),VALUE(MID($O$7,25,6)),0)</f>
        <v>0</v>
      </c>
      <c r="P20" s="26">
        <f>IF((LEN($N$7)&gt;29),VALUE(MID($N$7,25,6)),0)</f>
        <v>0</v>
      </c>
      <c r="Q20" s="29">
        <f t="shared" si="6"/>
      </c>
      <c r="R20" s="472">
        <f t="shared" si="7"/>
      </c>
    </row>
    <row r="21" spans="1:18" ht="15.75">
      <c r="A21" s="5">
        <f t="shared" si="0"/>
        <v>0</v>
      </c>
      <c r="B21" s="103"/>
      <c r="C21" s="93"/>
      <c r="D21" s="96"/>
      <c r="E21" s="108"/>
      <c r="F21" s="154">
        <f t="shared" si="3"/>
        <v>0</v>
      </c>
      <c r="G21" s="134"/>
      <c r="H21" s="95"/>
      <c r="I21" s="128"/>
      <c r="J21" s="11" t="b">
        <f t="shared" si="1"/>
        <v>0</v>
      </c>
      <c r="K21" s="14">
        <f t="shared" si="2"/>
      </c>
      <c r="L21" s="16">
        <f t="shared" si="4"/>
      </c>
      <c r="M21" s="18">
        <f t="shared" si="5"/>
        <v>1</v>
      </c>
      <c r="N21" s="18">
        <f t="shared" si="8"/>
        <v>0</v>
      </c>
      <c r="O21" s="27">
        <f>IF((LEN($O$7)&gt;35),VALUE(MID($O$7,31,6)),0)</f>
        <v>0</v>
      </c>
      <c r="P21" s="26">
        <f>IF((LEN($N$7)&gt;35),VALUE(MID($N$7,31,6)),0)</f>
        <v>0</v>
      </c>
      <c r="Q21" s="29">
        <f t="shared" si="6"/>
      </c>
      <c r="R21" s="472">
        <f t="shared" si="7"/>
      </c>
    </row>
    <row r="22" spans="1:18" ht="15.75">
      <c r="A22" s="5">
        <f t="shared" si="0"/>
        <v>0</v>
      </c>
      <c r="B22" s="103"/>
      <c r="C22" s="93"/>
      <c r="D22" s="96"/>
      <c r="E22" s="108"/>
      <c r="F22" s="154">
        <f t="shared" si="3"/>
        <v>0</v>
      </c>
      <c r="G22" s="134"/>
      <c r="H22" s="95"/>
      <c r="I22" s="128"/>
      <c r="J22" s="11" t="b">
        <f t="shared" si="1"/>
        <v>0</v>
      </c>
      <c r="K22" s="14">
        <f t="shared" si="2"/>
      </c>
      <c r="L22" s="16">
        <f t="shared" si="4"/>
      </c>
      <c r="M22" s="18">
        <f t="shared" si="5"/>
        <v>1</v>
      </c>
      <c r="N22" s="18">
        <f t="shared" si="8"/>
        <v>0</v>
      </c>
      <c r="O22" s="27">
        <f>IF((LEN($O$7)&gt;41),VALUE(MID($O$7,37,6)),0)</f>
        <v>0</v>
      </c>
      <c r="P22" s="26">
        <f>IF((LEN($N$7)&gt;41),VALUE(MID($N$7,37,6)),0)</f>
        <v>0</v>
      </c>
      <c r="Q22" s="29">
        <f t="shared" si="6"/>
      </c>
      <c r="R22" s="472">
        <f t="shared" si="7"/>
      </c>
    </row>
    <row r="23" spans="1:18" ht="15.75">
      <c r="A23" s="5">
        <f t="shared" si="0"/>
        <v>0</v>
      </c>
      <c r="B23" s="103"/>
      <c r="C23" s="93"/>
      <c r="D23" s="96"/>
      <c r="E23" s="108"/>
      <c r="F23" s="154">
        <f t="shared" si="3"/>
        <v>0</v>
      </c>
      <c r="G23" s="134"/>
      <c r="H23" s="95"/>
      <c r="I23" s="128"/>
      <c r="J23" s="11" t="b">
        <f t="shared" si="1"/>
        <v>0</v>
      </c>
      <c r="K23" s="14">
        <f t="shared" si="2"/>
      </c>
      <c r="L23" s="16">
        <f t="shared" si="4"/>
      </c>
      <c r="M23" s="18">
        <f t="shared" si="5"/>
        <v>1</v>
      </c>
      <c r="N23" s="18">
        <f t="shared" si="8"/>
        <v>0</v>
      </c>
      <c r="O23" s="27">
        <f>IF((LEN($O$7)&gt;47),VALUE(MID($O$7,43,6)),0)</f>
        <v>0</v>
      </c>
      <c r="P23" s="26">
        <f>IF((LEN($N$7)&gt;47),VALUE(MID($N$7,43,6)),0)</f>
        <v>0</v>
      </c>
      <c r="Q23" s="29">
        <f t="shared" si="6"/>
      </c>
      <c r="R23" s="472">
        <f t="shared" si="7"/>
      </c>
    </row>
    <row r="24" spans="1:18" ht="15.75">
      <c r="A24" s="5">
        <f t="shared" si="0"/>
        <v>0</v>
      </c>
      <c r="B24" s="103"/>
      <c r="C24" s="93"/>
      <c r="D24" s="96"/>
      <c r="E24" s="108"/>
      <c r="F24" s="154">
        <f>IF(ISNUMBER(D24),IF(ISNUMBER(E24),(E24-D24)-(G24+H24),0),IF(ISNUMBER(E24),(E24-E23)-(G24+H24),0))</f>
        <v>0</v>
      </c>
      <c r="G24" s="134"/>
      <c r="H24" s="95"/>
      <c r="I24" s="128" t="s">
        <v>100</v>
      </c>
      <c r="J24" s="11" t="b">
        <f t="shared" si="1"/>
        <v>0</v>
      </c>
      <c r="K24" s="14">
        <f t="shared" si="2"/>
      </c>
      <c r="L24" s="16">
        <f>IF(ISNUMBER(C25),TEXT(E24,"000000"),"")</f>
      </c>
      <c r="M24" s="18">
        <f t="shared" si="5"/>
        <v>1</v>
      </c>
      <c r="N24" s="18">
        <f t="shared" si="8"/>
        <v>0</v>
      </c>
      <c r="O24" s="27">
        <f>IF((LEN($O$7)&gt;53),VALUE(MID($O$7,49,6)),0)</f>
        <v>0</v>
      </c>
      <c r="P24" s="26">
        <f>IF((LEN($N$7)&gt;53),VALUE(MID($N$7,49,6)),0)</f>
        <v>0</v>
      </c>
      <c r="Q24" s="29">
        <f t="shared" si="6"/>
      </c>
      <c r="R24" s="472">
        <f t="shared" si="7"/>
      </c>
    </row>
    <row r="25" spans="1:18" ht="15.75">
      <c r="A25" s="5">
        <f t="shared" si="0"/>
        <v>0</v>
      </c>
      <c r="B25" s="103"/>
      <c r="C25" s="93"/>
      <c r="D25" s="96"/>
      <c r="E25" s="108"/>
      <c r="F25" s="154">
        <f>IF(ISNUMBER(D25),IF(ISNUMBER(E25),(E25-D25)-(G25+H25),0),IF(ISNUMBER(E25),(E25-E24)-(G25+H25),0))</f>
        <v>0</v>
      </c>
      <c r="G25" s="134"/>
      <c r="H25" s="95"/>
      <c r="I25" s="128"/>
      <c r="J25" s="11" t="b">
        <f t="shared" si="1"/>
        <v>0</v>
      </c>
      <c r="K25" s="14">
        <f t="shared" si="2"/>
      </c>
      <c r="L25" s="16">
        <f t="shared" si="4"/>
      </c>
      <c r="M25" s="18">
        <f t="shared" si="5"/>
        <v>1</v>
      </c>
      <c r="N25" s="18">
        <f>IF(J25,,E24)</f>
        <v>0</v>
      </c>
      <c r="P25" s="33"/>
      <c r="Q25" s="29">
        <f t="shared" si="6"/>
      </c>
      <c r="R25" s="472">
        <f t="shared" si="7"/>
      </c>
    </row>
    <row r="26" spans="1:18" ht="15.75">
      <c r="A26" s="5">
        <f t="shared" si="0"/>
        <v>0</v>
      </c>
      <c r="B26" s="103"/>
      <c r="C26" s="93"/>
      <c r="D26" s="96"/>
      <c r="E26" s="108"/>
      <c r="F26" s="154">
        <f t="shared" si="3"/>
        <v>0</v>
      </c>
      <c r="G26" s="134"/>
      <c r="H26" s="95"/>
      <c r="I26" s="128"/>
      <c r="J26" s="11" t="b">
        <f t="shared" si="1"/>
        <v>0</v>
      </c>
      <c r="K26" s="14">
        <f t="shared" si="2"/>
      </c>
      <c r="L26" s="16">
        <f t="shared" si="4"/>
      </c>
      <c r="M26" s="18">
        <f t="shared" si="5"/>
        <v>1</v>
      </c>
      <c r="N26" s="18">
        <f t="shared" si="8"/>
        <v>0</v>
      </c>
      <c r="O26" s="4"/>
      <c r="P26" s="3"/>
      <c r="Q26" s="29">
        <f t="shared" si="6"/>
      </c>
      <c r="R26" s="472">
        <f t="shared" si="7"/>
      </c>
    </row>
    <row r="27" spans="1:18" ht="15.75">
      <c r="A27" s="5">
        <f t="shared" si="0"/>
        <v>0</v>
      </c>
      <c r="B27" s="103"/>
      <c r="C27" s="93"/>
      <c r="D27" s="96"/>
      <c r="E27" s="108"/>
      <c r="F27" s="154">
        <f t="shared" si="3"/>
        <v>0</v>
      </c>
      <c r="G27" s="134"/>
      <c r="H27" s="95"/>
      <c r="I27" s="128"/>
      <c r="J27" s="11" t="b">
        <f t="shared" si="1"/>
        <v>0</v>
      </c>
      <c r="K27" s="14">
        <f t="shared" si="2"/>
      </c>
      <c r="L27" s="16">
        <f t="shared" si="4"/>
      </c>
      <c r="M27" s="18">
        <f t="shared" si="5"/>
        <v>1</v>
      </c>
      <c r="N27" s="18">
        <f t="shared" si="8"/>
        <v>0</v>
      </c>
      <c r="O27" s="4"/>
      <c r="P27" s="3"/>
      <c r="Q27" s="29">
        <f t="shared" si="6"/>
      </c>
      <c r="R27" s="472">
        <f t="shared" si="7"/>
      </c>
    </row>
    <row r="28" spans="1:18" ht="15.75">
      <c r="A28" s="5">
        <f t="shared" si="0"/>
        <v>0</v>
      </c>
      <c r="B28" s="103"/>
      <c r="C28" s="93"/>
      <c r="D28" s="96"/>
      <c r="E28" s="108"/>
      <c r="F28" s="154">
        <f t="shared" si="3"/>
        <v>0</v>
      </c>
      <c r="G28" s="134"/>
      <c r="H28" s="95"/>
      <c r="I28" s="128"/>
      <c r="J28" s="11" t="b">
        <f t="shared" si="1"/>
        <v>0</v>
      </c>
      <c r="K28" s="14">
        <f t="shared" si="2"/>
      </c>
      <c r="L28" s="16">
        <f t="shared" si="4"/>
      </c>
      <c r="M28" s="18">
        <f t="shared" si="5"/>
        <v>1</v>
      </c>
      <c r="N28" s="18">
        <f t="shared" si="8"/>
        <v>0</v>
      </c>
      <c r="O28" s="4"/>
      <c r="P28" s="3"/>
      <c r="Q28" s="29">
        <f t="shared" si="6"/>
      </c>
      <c r="R28" s="472">
        <f t="shared" si="7"/>
      </c>
    </row>
    <row r="29" spans="1:18" ht="15.75">
      <c r="A29" s="5">
        <f t="shared" si="0"/>
        <v>0</v>
      </c>
      <c r="B29" s="103"/>
      <c r="C29" s="93"/>
      <c r="D29" s="96"/>
      <c r="E29" s="108"/>
      <c r="F29" s="154">
        <f t="shared" si="3"/>
        <v>0</v>
      </c>
      <c r="G29" s="134"/>
      <c r="H29" s="95"/>
      <c r="I29" s="128"/>
      <c r="J29" s="11" t="b">
        <f t="shared" si="1"/>
        <v>0</v>
      </c>
      <c r="K29" s="14">
        <f t="shared" si="2"/>
      </c>
      <c r="L29" s="16">
        <f t="shared" si="4"/>
      </c>
      <c r="M29" s="18">
        <f t="shared" si="5"/>
        <v>1</v>
      </c>
      <c r="N29" s="18">
        <f t="shared" si="8"/>
        <v>0</v>
      </c>
      <c r="O29" s="4"/>
      <c r="P29" s="3"/>
      <c r="Q29" s="29">
        <f t="shared" si="6"/>
      </c>
      <c r="R29" s="472">
        <f t="shared" si="7"/>
      </c>
    </row>
    <row r="30" spans="1:18" ht="15.75">
      <c r="A30" s="5">
        <f t="shared" si="0"/>
        <v>0</v>
      </c>
      <c r="B30" s="103"/>
      <c r="C30" s="93"/>
      <c r="D30" s="96"/>
      <c r="E30" s="108"/>
      <c r="F30" s="154">
        <f t="shared" si="3"/>
        <v>0</v>
      </c>
      <c r="G30" s="134"/>
      <c r="H30" s="95"/>
      <c r="I30" s="128"/>
      <c r="J30" s="11" t="b">
        <f t="shared" si="1"/>
        <v>0</v>
      </c>
      <c r="K30" s="14">
        <f t="shared" si="2"/>
      </c>
      <c r="L30" s="16">
        <f t="shared" si="4"/>
      </c>
      <c r="M30" s="18">
        <f t="shared" si="5"/>
        <v>1</v>
      </c>
      <c r="N30" s="18">
        <f t="shared" si="8"/>
        <v>0</v>
      </c>
      <c r="O30" s="4"/>
      <c r="P30" s="3"/>
      <c r="Q30" s="29">
        <f t="shared" si="6"/>
      </c>
      <c r="R30" s="472">
        <f t="shared" si="7"/>
      </c>
    </row>
    <row r="31" spans="1:18" ht="15.75">
      <c r="A31" s="5">
        <f t="shared" si="0"/>
        <v>0</v>
      </c>
      <c r="B31" s="103"/>
      <c r="C31" s="93"/>
      <c r="D31" s="96"/>
      <c r="E31" s="108"/>
      <c r="F31" s="154">
        <f t="shared" si="3"/>
        <v>0</v>
      </c>
      <c r="G31" s="134"/>
      <c r="H31" s="95"/>
      <c r="I31" s="128"/>
      <c r="J31" s="11" t="b">
        <f t="shared" si="1"/>
        <v>0</v>
      </c>
      <c r="K31" s="14">
        <f t="shared" si="2"/>
      </c>
      <c r="L31" s="16">
        <f t="shared" si="4"/>
      </c>
      <c r="M31" s="18">
        <f t="shared" si="5"/>
        <v>1</v>
      </c>
      <c r="N31" s="18">
        <f>IF(J31,,E30)</f>
        <v>0</v>
      </c>
      <c r="O31" s="4"/>
      <c r="P31" s="3"/>
      <c r="Q31" s="29">
        <f t="shared" si="6"/>
      </c>
      <c r="R31" s="472">
        <f t="shared" si="7"/>
      </c>
    </row>
    <row r="32" spans="1:18" ht="15.75">
      <c r="A32" s="5">
        <f t="shared" si="0"/>
        <v>0</v>
      </c>
      <c r="B32" s="103"/>
      <c r="C32" s="93"/>
      <c r="D32" s="96"/>
      <c r="E32" s="108"/>
      <c r="F32" s="154">
        <f t="shared" si="3"/>
        <v>0</v>
      </c>
      <c r="G32" s="134"/>
      <c r="H32" s="95"/>
      <c r="I32" s="128"/>
      <c r="J32" s="11" t="b">
        <f t="shared" si="1"/>
        <v>0</v>
      </c>
      <c r="K32" s="14">
        <f t="shared" si="2"/>
      </c>
      <c r="L32" s="16">
        <f t="shared" si="4"/>
      </c>
      <c r="M32" s="18">
        <f t="shared" si="5"/>
        <v>1</v>
      </c>
      <c r="N32" s="18">
        <f t="shared" si="8"/>
        <v>0</v>
      </c>
      <c r="O32" s="4"/>
      <c r="P32" s="3"/>
      <c r="Q32" s="29">
        <f t="shared" si="6"/>
      </c>
      <c r="R32" s="472">
        <f t="shared" si="7"/>
      </c>
    </row>
    <row r="33" spans="1:18" ht="15.75">
      <c r="A33" s="5">
        <f t="shared" si="0"/>
        <v>0</v>
      </c>
      <c r="B33" s="103"/>
      <c r="C33" s="93"/>
      <c r="D33" s="96"/>
      <c r="E33" s="108"/>
      <c r="F33" s="154">
        <f t="shared" si="3"/>
        <v>0</v>
      </c>
      <c r="G33" s="134"/>
      <c r="H33" s="95"/>
      <c r="I33" s="128"/>
      <c r="J33" s="11" t="b">
        <f t="shared" si="1"/>
        <v>0</v>
      </c>
      <c r="K33" s="14">
        <f t="shared" si="2"/>
      </c>
      <c r="L33" s="16">
        <f t="shared" si="4"/>
      </c>
      <c r="M33" s="18">
        <f t="shared" si="5"/>
        <v>1</v>
      </c>
      <c r="N33" s="18">
        <f t="shared" si="8"/>
        <v>0</v>
      </c>
      <c r="O33" s="4"/>
      <c r="P33" s="3"/>
      <c r="Q33" s="29">
        <f t="shared" si="6"/>
      </c>
      <c r="R33" s="472">
        <f t="shared" si="7"/>
      </c>
    </row>
    <row r="34" spans="1:18" ht="15.75">
      <c r="A34" s="5">
        <f t="shared" si="0"/>
        <v>0</v>
      </c>
      <c r="B34" s="103"/>
      <c r="C34" s="93"/>
      <c r="D34" s="96"/>
      <c r="E34" s="108"/>
      <c r="F34" s="154">
        <f t="shared" si="3"/>
        <v>0</v>
      </c>
      <c r="G34" s="134"/>
      <c r="H34" s="95"/>
      <c r="I34" s="128"/>
      <c r="J34" s="11" t="b">
        <f t="shared" si="1"/>
        <v>0</v>
      </c>
      <c r="K34" s="14">
        <f t="shared" si="2"/>
      </c>
      <c r="L34" s="16">
        <f t="shared" si="4"/>
      </c>
      <c r="M34" s="18">
        <f t="shared" si="5"/>
        <v>1</v>
      </c>
      <c r="N34" s="18">
        <f t="shared" si="8"/>
        <v>0</v>
      </c>
      <c r="O34" s="4"/>
      <c r="P34" s="3"/>
      <c r="Q34" s="29">
        <f t="shared" si="6"/>
      </c>
      <c r="R34" s="472">
        <f t="shared" si="7"/>
      </c>
    </row>
    <row r="35" spans="1:18" ht="15.75">
      <c r="A35" s="5">
        <f t="shared" si="0"/>
        <v>0</v>
      </c>
      <c r="B35" s="103"/>
      <c r="C35" s="93"/>
      <c r="D35" s="96"/>
      <c r="E35" s="108"/>
      <c r="F35" s="154">
        <f t="shared" si="3"/>
        <v>0</v>
      </c>
      <c r="G35" s="134"/>
      <c r="H35" s="95"/>
      <c r="I35" s="128"/>
      <c r="J35" s="11" t="b">
        <f>IF(AND((B35&lt;&gt;B34),F35&gt;0),TRUE,FALSE)</f>
        <v>0</v>
      </c>
      <c r="K35" s="14">
        <f t="shared" si="2"/>
      </c>
      <c r="L35" s="16">
        <f t="shared" si="4"/>
      </c>
      <c r="M35" s="18">
        <f t="shared" si="5"/>
        <v>1</v>
      </c>
      <c r="N35" s="18">
        <f t="shared" si="8"/>
        <v>0</v>
      </c>
      <c r="O35" s="4"/>
      <c r="P35" s="3"/>
      <c r="Q35" s="29">
        <f t="shared" si="6"/>
      </c>
      <c r="R35" s="472">
        <f t="shared" si="7"/>
      </c>
    </row>
    <row r="36" spans="1:19" ht="15.75">
      <c r="A36" s="5">
        <f t="shared" si="0"/>
        <v>0</v>
      </c>
      <c r="B36" s="103"/>
      <c r="C36" s="93"/>
      <c r="D36" s="96"/>
      <c r="E36" s="108"/>
      <c r="F36" s="154">
        <f t="shared" si="3"/>
        <v>0</v>
      </c>
      <c r="G36" s="134"/>
      <c r="H36" s="95"/>
      <c r="I36" s="128"/>
      <c r="J36" s="11" t="b">
        <f t="shared" si="1"/>
        <v>0</v>
      </c>
      <c r="K36" s="14">
        <f t="shared" si="2"/>
      </c>
      <c r="L36" s="16">
        <f t="shared" si="4"/>
      </c>
      <c r="M36" s="18">
        <f t="shared" si="5"/>
        <v>1</v>
      </c>
      <c r="N36" s="18">
        <f t="shared" si="8"/>
        <v>0</v>
      </c>
      <c r="O36" s="4"/>
      <c r="P36" s="3"/>
      <c r="Q36" s="29">
        <f t="shared" si="6"/>
      </c>
      <c r="R36" s="472">
        <f t="shared" si="7"/>
      </c>
      <c r="S36" s="86">
        <f>VLOOKUP(MAX(A11:A46),A11:B46,2,FALSE)</f>
        <v>0</v>
      </c>
    </row>
    <row r="37" spans="1:18" ht="15.75">
      <c r="A37" s="5">
        <f t="shared" si="0"/>
        <v>0</v>
      </c>
      <c r="B37" s="103"/>
      <c r="C37" s="93"/>
      <c r="D37" s="96"/>
      <c r="E37" s="108"/>
      <c r="F37" s="154">
        <f t="shared" si="3"/>
        <v>0</v>
      </c>
      <c r="G37" s="134"/>
      <c r="H37" s="95"/>
      <c r="I37" s="128"/>
      <c r="J37" s="11" t="b">
        <f t="shared" si="1"/>
        <v>0</v>
      </c>
      <c r="K37" s="14">
        <f t="shared" si="2"/>
      </c>
      <c r="L37" s="16">
        <f t="shared" si="4"/>
      </c>
      <c r="M37" s="18">
        <f t="shared" si="5"/>
        <v>1</v>
      </c>
      <c r="N37" s="18">
        <f t="shared" si="8"/>
        <v>0</v>
      </c>
      <c r="O37" s="517" t="s">
        <v>70</v>
      </c>
      <c r="P37" s="3"/>
      <c r="Q37" s="29">
        <f t="shared" si="6"/>
      </c>
      <c r="R37" s="472">
        <f t="shared" si="7"/>
      </c>
    </row>
    <row r="38" spans="1:20" ht="15.75">
      <c r="A38" s="5">
        <f t="shared" si="0"/>
        <v>0</v>
      </c>
      <c r="B38" s="103"/>
      <c r="C38" s="93"/>
      <c r="D38" s="96"/>
      <c r="E38" s="108"/>
      <c r="F38" s="154">
        <f t="shared" si="3"/>
        <v>0</v>
      </c>
      <c r="G38" s="134"/>
      <c r="H38" s="95"/>
      <c r="I38" s="128"/>
      <c r="J38" s="11" t="b">
        <f t="shared" si="1"/>
        <v>0</v>
      </c>
      <c r="K38" s="14">
        <f t="shared" si="2"/>
      </c>
      <c r="L38" s="16">
        <f t="shared" si="4"/>
      </c>
      <c r="M38" s="18">
        <f t="shared" si="5"/>
        <v>1</v>
      </c>
      <c r="N38" s="18">
        <f t="shared" si="8"/>
        <v>0</v>
      </c>
      <c r="O38" s="518"/>
      <c r="P38" s="3"/>
      <c r="Q38" s="29">
        <f t="shared" si="6"/>
      </c>
      <c r="R38" s="472">
        <f t="shared" si="7"/>
      </c>
      <c r="S38" s="88" t="s">
        <v>93</v>
      </c>
      <c r="T38" s="88" t="s">
        <v>94</v>
      </c>
    </row>
    <row r="39" spans="1:20" ht="15.75">
      <c r="A39" s="5">
        <f t="shared" si="0"/>
        <v>0</v>
      </c>
      <c r="B39" s="103"/>
      <c r="C39" s="93"/>
      <c r="D39" s="96"/>
      <c r="E39" s="108"/>
      <c r="F39" s="154">
        <f t="shared" si="3"/>
        <v>0</v>
      </c>
      <c r="G39" s="134"/>
      <c r="H39" s="95"/>
      <c r="I39" s="128"/>
      <c r="J39" s="11" t="b">
        <f t="shared" si="1"/>
        <v>0</v>
      </c>
      <c r="K39" s="14">
        <f t="shared" si="2"/>
      </c>
      <c r="L39" s="16">
        <f t="shared" si="4"/>
      </c>
      <c r="M39" s="18">
        <f t="shared" si="5"/>
        <v>1</v>
      </c>
      <c r="N39" s="18">
        <f t="shared" si="8"/>
        <v>0</v>
      </c>
      <c r="O39" s="30">
        <f>LEFT($P$7,5)</f>
      </c>
      <c r="P39" s="3"/>
      <c r="Q39" s="29">
        <f t="shared" si="6"/>
      </c>
      <c r="R39" s="472">
        <f t="shared" si="7"/>
      </c>
      <c r="S39" s="87">
        <f>IF(ISERR(VALUE(LEFT($Q$7,5))),"",VALUE(LEFT($Q$7,5)))</f>
      </c>
      <c r="T39" s="87">
        <f>IF(ISNUMBER(S39),IF(ISBLANK(S40),$S$36,IF(ISERROR(S40-1),$S$36,(S40-1))),"")</f>
      </c>
    </row>
    <row r="40" spans="1:20" ht="15.75">
      <c r="A40" s="5">
        <f t="shared" si="0"/>
        <v>0</v>
      </c>
      <c r="B40" s="103"/>
      <c r="C40" s="93"/>
      <c r="D40" s="96"/>
      <c r="E40" s="108"/>
      <c r="F40" s="154">
        <f t="shared" si="3"/>
        <v>0</v>
      </c>
      <c r="G40" s="134"/>
      <c r="H40" s="95"/>
      <c r="I40" s="128"/>
      <c r="J40" s="11" t="b">
        <f t="shared" si="1"/>
        <v>0</v>
      </c>
      <c r="K40" s="14">
        <f t="shared" si="2"/>
      </c>
      <c r="L40" s="16">
        <f t="shared" si="4"/>
      </c>
      <c r="M40" s="18">
        <f t="shared" si="5"/>
        <v>1</v>
      </c>
      <c r="N40" s="18">
        <f t="shared" si="8"/>
        <v>0</v>
      </c>
      <c r="O40" s="30">
        <f>MID($P$7,6,5)</f>
      </c>
      <c r="P40" s="3"/>
      <c r="Q40" s="29">
        <f t="shared" si="6"/>
      </c>
      <c r="R40" s="472">
        <f t="shared" si="7"/>
      </c>
      <c r="S40" s="87">
        <f>IF(ISERROR(VALUE(MID($Q$7,6,5))),"",VALUE(MID($Q$7,6,5)))</f>
      </c>
      <c r="T40" s="87">
        <f aca="true" t="shared" si="9" ref="T40:T46">IF(ISNUMBER(S40),IF(ISBLANK(S41),$S$36,IF(ISERROR(S41-1),$S$36,(S41-1))),"")</f>
      </c>
    </row>
    <row r="41" spans="1:20" ht="15.75">
      <c r="A41" s="5">
        <f t="shared" si="0"/>
        <v>0</v>
      </c>
      <c r="B41" s="103"/>
      <c r="C41" s="93"/>
      <c r="D41" s="96"/>
      <c r="E41" s="108"/>
      <c r="F41" s="154">
        <f t="shared" si="3"/>
        <v>0</v>
      </c>
      <c r="G41" s="134"/>
      <c r="H41" s="95"/>
      <c r="I41" s="128"/>
      <c r="J41" s="11" t="b">
        <f t="shared" si="1"/>
        <v>0</v>
      </c>
      <c r="K41" s="14">
        <f t="shared" si="2"/>
      </c>
      <c r="L41" s="16">
        <f t="shared" si="4"/>
      </c>
      <c r="M41" s="18">
        <f t="shared" si="5"/>
        <v>1</v>
      </c>
      <c r="N41" s="18">
        <f t="shared" si="8"/>
        <v>0</v>
      </c>
      <c r="O41" s="30">
        <f>MID($P$7,11,5)</f>
      </c>
      <c r="P41" s="3"/>
      <c r="Q41" s="29">
        <f t="shared" si="6"/>
      </c>
      <c r="R41" s="472">
        <f t="shared" si="7"/>
      </c>
      <c r="S41" s="87">
        <f>IF(ISERROR(VALUE(MID($Q$7,11,5))),"",VALUE(MID($Q$7,11,5)))</f>
      </c>
      <c r="T41" s="87">
        <f t="shared" si="9"/>
      </c>
    </row>
    <row r="42" spans="1:20" ht="15.75">
      <c r="A42" s="5">
        <f t="shared" si="0"/>
        <v>0</v>
      </c>
      <c r="B42" s="103"/>
      <c r="C42" s="93"/>
      <c r="D42" s="96"/>
      <c r="E42" s="109"/>
      <c r="F42" s="154">
        <f t="shared" si="3"/>
        <v>0</v>
      </c>
      <c r="G42" s="134"/>
      <c r="H42" s="95"/>
      <c r="I42" s="128"/>
      <c r="J42" s="11" t="b">
        <f t="shared" si="1"/>
        <v>0</v>
      </c>
      <c r="K42" s="14">
        <f t="shared" si="2"/>
      </c>
      <c r="L42" s="16">
        <f t="shared" si="4"/>
      </c>
      <c r="M42" s="18">
        <f t="shared" si="5"/>
        <v>1</v>
      </c>
      <c r="N42" s="18">
        <f t="shared" si="8"/>
        <v>0</v>
      </c>
      <c r="O42" s="30">
        <f>MID($P$7,16,5)</f>
      </c>
      <c r="P42" s="3"/>
      <c r="Q42" s="29">
        <f t="shared" si="6"/>
      </c>
      <c r="R42" s="472">
        <f t="shared" si="7"/>
      </c>
      <c r="S42" s="87">
        <f>IF(ISERROR(VALUE(MID($Q$7,16,5))),"",VALUE(MID($Q$7,16,5)))</f>
      </c>
      <c r="T42" s="87">
        <f t="shared" si="9"/>
      </c>
    </row>
    <row r="43" spans="1:20" ht="15.75">
      <c r="A43" s="5">
        <f t="shared" si="0"/>
        <v>0</v>
      </c>
      <c r="B43" s="103"/>
      <c r="C43" s="93"/>
      <c r="D43" s="96"/>
      <c r="E43" s="109"/>
      <c r="F43" s="154">
        <f t="shared" si="3"/>
        <v>0</v>
      </c>
      <c r="G43" s="134"/>
      <c r="H43" s="95"/>
      <c r="I43" s="128"/>
      <c r="J43" s="11" t="b">
        <f t="shared" si="1"/>
        <v>0</v>
      </c>
      <c r="K43" s="14">
        <f t="shared" si="2"/>
      </c>
      <c r="L43" s="16">
        <f t="shared" si="4"/>
      </c>
      <c r="M43" s="18">
        <f t="shared" si="5"/>
        <v>1</v>
      </c>
      <c r="N43" s="18">
        <f t="shared" si="8"/>
        <v>0</v>
      </c>
      <c r="O43" s="30">
        <f>MID($P$7,21,5)</f>
      </c>
      <c r="P43" s="3"/>
      <c r="Q43" s="29">
        <f t="shared" si="6"/>
      </c>
      <c r="R43" s="472">
        <f t="shared" si="7"/>
      </c>
      <c r="S43" s="87">
        <f>IF(ISERROR(VALUE(MID($Q$7,21,5))),"",VALUE(MID($Q$7,21,5)))</f>
      </c>
      <c r="T43" s="87">
        <f t="shared" si="9"/>
      </c>
    </row>
    <row r="44" spans="1:20" ht="15.75">
      <c r="A44" s="5">
        <f t="shared" si="0"/>
        <v>0</v>
      </c>
      <c r="B44" s="103"/>
      <c r="C44" s="93"/>
      <c r="D44" s="96"/>
      <c r="E44" s="109"/>
      <c r="F44" s="154">
        <f t="shared" si="3"/>
        <v>0</v>
      </c>
      <c r="G44" s="134"/>
      <c r="H44" s="95"/>
      <c r="I44" s="128"/>
      <c r="J44" s="11" t="b">
        <f t="shared" si="1"/>
        <v>0</v>
      </c>
      <c r="K44" s="14">
        <f t="shared" si="2"/>
      </c>
      <c r="L44" s="16">
        <f t="shared" si="4"/>
      </c>
      <c r="M44" s="18">
        <f t="shared" si="5"/>
        <v>1</v>
      </c>
      <c r="N44" s="18">
        <f t="shared" si="8"/>
        <v>0</v>
      </c>
      <c r="O44" s="30">
        <f>MID($P$7,26,5)</f>
      </c>
      <c r="P44" s="3"/>
      <c r="Q44" s="29">
        <f t="shared" si="6"/>
      </c>
      <c r="R44" s="472">
        <f t="shared" si="7"/>
      </c>
      <c r="S44" s="87">
        <f>IF(ISERROR(VALUE(MID($Q$7,26,5))),"",VALUE(MID($Q$7,26,5)))</f>
      </c>
      <c r="T44" s="87">
        <f t="shared" si="9"/>
      </c>
    </row>
    <row r="45" spans="1:20" ht="15.75">
      <c r="A45" s="5">
        <f t="shared" si="0"/>
        <v>0</v>
      </c>
      <c r="B45" s="103"/>
      <c r="C45" s="93"/>
      <c r="D45" s="96"/>
      <c r="E45" s="109"/>
      <c r="F45" s="154">
        <f t="shared" si="3"/>
        <v>0</v>
      </c>
      <c r="G45" s="134"/>
      <c r="H45" s="95"/>
      <c r="I45" s="128"/>
      <c r="J45" s="11" t="b">
        <f t="shared" si="1"/>
        <v>0</v>
      </c>
      <c r="K45" s="14">
        <f t="shared" si="2"/>
      </c>
      <c r="L45" s="16">
        <f t="shared" si="4"/>
      </c>
      <c r="M45" s="18">
        <f t="shared" si="5"/>
        <v>1</v>
      </c>
      <c r="N45" s="18">
        <f>IF(J45,,E44)</f>
        <v>0</v>
      </c>
      <c r="O45" s="30">
        <f>MID($P$7,31,5)</f>
      </c>
      <c r="P45" s="3"/>
      <c r="Q45" s="29">
        <f t="shared" si="6"/>
      </c>
      <c r="R45" s="472">
        <f t="shared" si="7"/>
      </c>
      <c r="S45" s="87">
        <f>IF(ISERROR(VALUE(MID($Q$7,31,5))),"",VALUE(MID($Q$7,31,5)))</f>
      </c>
      <c r="T45" s="87">
        <f t="shared" si="9"/>
      </c>
    </row>
    <row r="46" spans="1:20" ht="16.5" thickBot="1">
      <c r="A46" s="5">
        <f t="shared" si="0"/>
        <v>0</v>
      </c>
      <c r="B46" s="103"/>
      <c r="C46" s="101"/>
      <c r="D46" s="102"/>
      <c r="E46" s="110"/>
      <c r="F46" s="154">
        <f t="shared" si="3"/>
        <v>0</v>
      </c>
      <c r="G46" s="135"/>
      <c r="H46" s="115"/>
      <c r="I46" s="129"/>
      <c r="J46" s="11" t="b">
        <f t="shared" si="1"/>
        <v>0</v>
      </c>
      <c r="K46" s="14">
        <f t="shared" si="2"/>
      </c>
      <c r="L46" s="16">
        <f t="shared" si="4"/>
      </c>
      <c r="M46" s="18">
        <f>M45+IF(N46&gt;0,1,0)</f>
        <v>1</v>
      </c>
      <c r="N46" s="18">
        <f>IF(ISBLANK(E46),E45,E46)</f>
        <v>0</v>
      </c>
      <c r="O46" s="30">
        <f>MID($P$7,36,5)</f>
      </c>
      <c r="P46" s="3"/>
      <c r="Q46" s="29">
        <f t="shared" si="6"/>
      </c>
      <c r="R46" s="472">
        <f t="shared" si="7"/>
      </c>
      <c r="S46" s="87">
        <f>IF(ISERROR(VALUE(MID($Q$7,36,5))),"",VALUE(MID($Q$7,36,5)))</f>
      </c>
      <c r="T46" s="87">
        <f t="shared" si="9"/>
      </c>
    </row>
    <row r="47" spans="5:16" ht="17.25" thickBot="1">
      <c r="E47" s="97" t="s">
        <v>1</v>
      </c>
      <c r="F47" s="98">
        <f>SUM(F11:F46)</f>
        <v>0</v>
      </c>
      <c r="G47" s="99">
        <f>SUM(G11:G46)</f>
        <v>0</v>
      </c>
      <c r="H47" s="100">
        <f>SUM(H11:H46)</f>
        <v>0</v>
      </c>
      <c r="I47" s="158">
        <f>F47+H47</f>
        <v>0</v>
      </c>
      <c r="J47" s="12">
        <f>COUNTIF(J11:J46,TRUE)</f>
        <v>0</v>
      </c>
      <c r="K47" s="14"/>
      <c r="L47" s="16">
        <f t="shared" si="4"/>
      </c>
      <c r="M47" s="19"/>
      <c r="N47" s="19" t="str">
        <f>TEXT(VLOOKUP(MAX(M11:M46),M11:N46,2,FALSE),"000000")</f>
        <v>000000</v>
      </c>
      <c r="O47" s="4"/>
      <c r="P47" s="3"/>
    </row>
    <row r="48" spans="7:14" ht="13.5">
      <c r="G48" s="10">
        <f>IF(G47&gt;40,"Max Allowed is 40!","")</f>
      </c>
      <c r="J48" s="3" t="s">
        <v>61</v>
      </c>
      <c r="L48" s="13" t="s">
        <v>62</v>
      </c>
      <c r="M48" s="17"/>
      <c r="N48" s="17" t="s">
        <v>63</v>
      </c>
    </row>
    <row r="49" ht="15">
      <c r="B49" s="92" t="s">
        <v>96</v>
      </c>
    </row>
    <row r="50" ht="13.5">
      <c r="B50" s="3" t="s">
        <v>133</v>
      </c>
    </row>
    <row r="51" ht="13.5">
      <c r="B51" s="3" t="s">
        <v>134</v>
      </c>
    </row>
    <row r="52" ht="13.5">
      <c r="B52" s="3" t="s">
        <v>307</v>
      </c>
    </row>
    <row r="54" spans="7:9" ht="13.5">
      <c r="G54" s="1"/>
      <c r="H54" s="1"/>
      <c r="I54" s="1"/>
    </row>
    <row r="55" spans="7:9" ht="13.5">
      <c r="G55" s="514" t="s">
        <v>2</v>
      </c>
      <c r="H55" s="514"/>
      <c r="I55" s="514"/>
    </row>
  </sheetData>
  <sheetProtection password="E4A4" sheet="1" objects="1" scenarios="1" selectLockedCells="1"/>
  <mergeCells count="6">
    <mergeCell ref="C3:E3"/>
    <mergeCell ref="Q9:Q10"/>
    <mergeCell ref="O14:P15"/>
    <mergeCell ref="G55:I55"/>
    <mergeCell ref="L9:L10"/>
    <mergeCell ref="O37:O38"/>
  </mergeCells>
  <conditionalFormatting sqref="G47">
    <cfRule type="cellIs" priority="2" dxfId="4" operator="greaterThan" stopIfTrue="1">
      <formula>40</formula>
    </cfRule>
  </conditionalFormatting>
  <conditionalFormatting sqref="G48">
    <cfRule type="expression" priority="3" dxfId="3" stopIfTrue="1">
      <formula>$G$47&gt;40</formula>
    </cfRule>
    <cfRule type="expression" priority="4" dxfId="2" stopIfTrue="1">
      <formula>$G$47&lt;=40</formula>
    </cfRule>
  </conditionalFormatting>
  <conditionalFormatting sqref="F11:F46">
    <cfRule type="cellIs" priority="1" dxfId="1" operator="equal" stopIfTrue="1">
      <formula>0</formula>
    </cfRule>
  </conditionalFormatting>
  <dataValidations count="2">
    <dataValidation type="date" operator="greaterThan" allowBlank="1" showErrorMessage="1" promptTitle="REMINDER" prompt="Don't skip lines for the weekend, skip dates!&#10;&#10;ie.&#10;09/04/09&#10;09/07/09" sqref="B11:B46">
      <formula1>36526</formula1>
    </dataValidation>
    <dataValidation type="textLength" operator="equal" allowBlank="1" showInputMessage="1" showErrorMessage="1" errorTitle="4 digits" error="Please enter the 4 digit van number.  If the van ends in a letter, such as &quot;1700s&quot;,  enter only the numbers, like &quot;1700&quot;." sqref="C11:C46 H5">
      <formula1>4</formula1>
    </dataValidation>
  </dataValidations>
  <printOptions horizontalCentered="1"/>
  <pageMargins left="0.6" right="0.6" top="0.54" bottom="0.54" header="0.5" footer="0.5"/>
  <pageSetup fitToHeight="1" fitToWidth="1" horizontalDpi="600" verticalDpi="600" orientation="portrait" scale="81" r:id="rId2"/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S47"/>
  <sheetViews>
    <sheetView showGridLines="0" zoomScalePageLayoutView="0" workbookViewId="0" topLeftCell="A4">
      <selection activeCell="E8" sqref="E8"/>
    </sheetView>
  </sheetViews>
  <sheetFormatPr defaultColWidth="9.140625" defaultRowHeight="12.75"/>
  <cols>
    <col min="1" max="1" width="3.28125" style="482" customWidth="1"/>
    <col min="2" max="2" width="3.7109375" style="54" customWidth="1"/>
    <col min="3" max="4" width="3.421875" style="54" customWidth="1"/>
    <col min="5" max="5" width="20.57421875" style="54" customWidth="1"/>
    <col min="6" max="6" width="21.57421875" style="54" customWidth="1"/>
    <col min="7" max="7" width="15.421875" style="54" customWidth="1"/>
    <col min="8" max="8" width="8.57421875" style="54" customWidth="1"/>
    <col min="9" max="9" width="18.00390625" style="54" bestFit="1" customWidth="1"/>
    <col min="10" max="10" width="18.8515625" style="54" customWidth="1"/>
    <col min="11" max="11" width="26.28125" style="54" customWidth="1"/>
    <col min="12" max="12" width="3.7109375" style="54" customWidth="1"/>
    <col min="13" max="13" width="13.00390625" style="54" customWidth="1"/>
    <col min="14" max="14" width="4.28125" style="54" hidden="1" customWidth="1"/>
    <col min="15" max="15" width="13.57421875" style="54" hidden="1" customWidth="1"/>
    <col min="16" max="16" width="12.421875" style="54" hidden="1" customWidth="1"/>
    <col min="17" max="17" width="5.00390625" style="54" hidden="1" customWidth="1"/>
    <col min="18" max="18" width="17.28125" style="54" hidden="1" customWidth="1"/>
    <col min="19" max="19" width="9.140625" style="54" hidden="1" customWidth="1"/>
    <col min="20" max="16384" width="9.140625" style="54" customWidth="1"/>
  </cols>
  <sheetData>
    <row r="1" spans="1:11" s="481" customFormat="1" ht="12.75" customHeight="1">
      <c r="A1" s="480"/>
      <c r="E1" s="552" t="s">
        <v>151</v>
      </c>
      <c r="F1" s="552"/>
      <c r="G1" s="552"/>
      <c r="H1" s="554">
        <f>'Daily Mileage Log'!E5</f>
        <v>0</v>
      </c>
      <c r="J1" s="545">
        <f ca="1">TODAY()</f>
        <v>41645</v>
      </c>
      <c r="K1" s="545"/>
    </row>
    <row r="2" spans="5:8" ht="12.75" customHeight="1">
      <c r="E2" s="553"/>
      <c r="F2" s="553"/>
      <c r="G2" s="553"/>
      <c r="H2" s="555"/>
    </row>
    <row r="3" spans="2:16" ht="13.5" thickBot="1"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O3" s="229"/>
      <c r="P3" s="230"/>
    </row>
    <row r="4" spans="2:18" ht="12.75" customHeight="1">
      <c r="B4" s="523" t="s">
        <v>140</v>
      </c>
      <c r="C4" s="521" t="s">
        <v>144</v>
      </c>
      <c r="D4" s="521" t="s">
        <v>139</v>
      </c>
      <c r="E4" s="231"/>
      <c r="F4" s="232"/>
      <c r="G4" s="232"/>
      <c r="K4" s="233"/>
      <c r="L4" s="539" t="s">
        <v>156</v>
      </c>
      <c r="M4" s="540"/>
      <c r="N4" s="229"/>
      <c r="R4" s="234"/>
    </row>
    <row r="5" spans="2:19" ht="12.75" customHeight="1">
      <c r="B5" s="523"/>
      <c r="C5" s="521"/>
      <c r="D5" s="521"/>
      <c r="E5" s="556" t="s">
        <v>152</v>
      </c>
      <c r="F5" s="557"/>
      <c r="G5" s="560" t="str">
        <f>'Daily Mileage Log'!C3</f>
        <v>December, 2013</v>
      </c>
      <c r="H5" s="483"/>
      <c r="I5" s="62" t="s">
        <v>170</v>
      </c>
      <c r="J5" s="484">
        <f>COUNTA(E8:E22)</f>
        <v>0</v>
      </c>
      <c r="L5" s="541"/>
      <c r="M5" s="542"/>
      <c r="N5" s="229"/>
      <c r="O5" s="220"/>
      <c r="P5" s="485"/>
      <c r="Q5" s="221"/>
      <c r="R5" s="222" t="s">
        <v>175</v>
      </c>
      <c r="S5" s="223">
        <f>SUMPRODUCT(--(ISTEXT(E8:E22)),--(LEN(TRIM(E8:E22))&gt;0))</f>
        <v>0</v>
      </c>
    </row>
    <row r="6" spans="2:19" ht="12.75" customHeight="1">
      <c r="B6" s="523"/>
      <c r="C6" s="521"/>
      <c r="D6" s="521"/>
      <c r="E6" s="558"/>
      <c r="F6" s="559"/>
      <c r="G6" s="561"/>
      <c r="I6" s="62" t="s">
        <v>171</v>
      </c>
      <c r="J6" s="484">
        <f>COUNTA(D8:D22)</f>
        <v>0</v>
      </c>
      <c r="L6" s="541"/>
      <c r="M6" s="542"/>
      <c r="N6" s="229"/>
      <c r="O6" s="527" t="s">
        <v>173</v>
      </c>
      <c r="P6" s="529" t="s">
        <v>174</v>
      </c>
      <c r="Q6" s="214"/>
      <c r="R6" s="224" t="s">
        <v>176</v>
      </c>
      <c r="S6" s="223">
        <f>SUMPRODUCT(--(ISTEXT(E25:E29)),--(LEN(TRIM(E25:E29))&gt;0))</f>
        <v>0</v>
      </c>
    </row>
    <row r="7" spans="2:19" ht="13.5" thickBot="1">
      <c r="B7" s="524"/>
      <c r="C7" s="522"/>
      <c r="D7" s="522"/>
      <c r="E7" s="218" t="s">
        <v>135</v>
      </c>
      <c r="F7" s="52" t="s">
        <v>148</v>
      </c>
      <c r="G7" s="52" t="s">
        <v>141</v>
      </c>
      <c r="H7" s="52" t="s">
        <v>142</v>
      </c>
      <c r="I7" s="52" t="s">
        <v>136</v>
      </c>
      <c r="J7" s="52" t="s">
        <v>137</v>
      </c>
      <c r="K7" s="52" t="s">
        <v>138</v>
      </c>
      <c r="L7" s="236"/>
      <c r="M7" s="52" t="s">
        <v>153</v>
      </c>
      <c r="N7" s="219"/>
      <c r="O7" s="528"/>
      <c r="P7" s="530"/>
      <c r="Q7" s="214"/>
      <c r="R7" s="225" t="s">
        <v>178</v>
      </c>
      <c r="S7" s="226">
        <f>P23</f>
        <v>0</v>
      </c>
    </row>
    <row r="8" spans="1:19" ht="19.5" customHeight="1">
      <c r="A8" s="72">
        <v>1</v>
      </c>
      <c r="B8" s="350"/>
      <c r="C8" s="350"/>
      <c r="D8" s="350"/>
      <c r="E8" s="273"/>
      <c r="F8" s="196"/>
      <c r="G8" s="196"/>
      <c r="H8" s="196"/>
      <c r="I8" s="196"/>
      <c r="J8" s="196"/>
      <c r="K8" s="250"/>
      <c r="L8" s="237"/>
      <c r="M8" s="197"/>
      <c r="N8" s="31"/>
      <c r="O8" s="215" t="b">
        <v>0</v>
      </c>
      <c r="P8" s="216" t="b">
        <f>AND(O8=TRUE,SUMPRODUCT(--(ISTEXT(E8)),--(LEN(TRIM(E8))&gt;0)))</f>
        <v>0</v>
      </c>
      <c r="Q8" s="214"/>
      <c r="R8" s="531" t="s">
        <v>177</v>
      </c>
      <c r="S8" s="519">
        <f>SUM(S5:S6)-P23</f>
        <v>0</v>
      </c>
    </row>
    <row r="9" spans="1:19" ht="19.5" customHeight="1">
      <c r="A9" s="72">
        <v>2</v>
      </c>
      <c r="B9" s="198"/>
      <c r="C9" s="198"/>
      <c r="D9" s="350"/>
      <c r="E9" s="273"/>
      <c r="F9" s="196"/>
      <c r="G9" s="196"/>
      <c r="H9" s="196"/>
      <c r="I9" s="196"/>
      <c r="J9" s="196"/>
      <c r="K9" s="250"/>
      <c r="L9" s="237"/>
      <c r="M9" s="196"/>
      <c r="N9" s="31"/>
      <c r="O9" s="215" t="b">
        <v>0</v>
      </c>
      <c r="P9" s="216" t="b">
        <f aca="true" t="shared" si="0" ref="P9:P22">AND(O9=TRUE,SUMPRODUCT(--(ISTEXT(E9)),--(LEN(TRIM(E9))&gt;0)))</f>
        <v>0</v>
      </c>
      <c r="Q9" s="214"/>
      <c r="R9" s="532"/>
      <c r="S9" s="520"/>
    </row>
    <row r="10" spans="1:19" ht="19.5" customHeight="1">
      <c r="A10" s="72">
        <v>3</v>
      </c>
      <c r="B10" s="198"/>
      <c r="C10" s="198"/>
      <c r="D10" s="350"/>
      <c r="E10" s="273"/>
      <c r="F10" s="196"/>
      <c r="G10" s="196"/>
      <c r="H10" s="196"/>
      <c r="I10" s="196"/>
      <c r="J10" s="196"/>
      <c r="K10" s="250"/>
      <c r="L10" s="237"/>
      <c r="M10" s="196"/>
      <c r="N10" s="31"/>
      <c r="O10" s="215" t="b">
        <v>0</v>
      </c>
      <c r="P10" s="216" t="b">
        <f t="shared" si="0"/>
        <v>0</v>
      </c>
      <c r="Q10" s="214"/>
      <c r="R10" s="214"/>
      <c r="S10" s="214"/>
    </row>
    <row r="11" spans="1:19" ht="19.5" customHeight="1">
      <c r="A11" s="72">
        <v>4</v>
      </c>
      <c r="B11" s="198"/>
      <c r="C11" s="198"/>
      <c r="D11" s="356"/>
      <c r="E11" s="273"/>
      <c r="F11" s="196"/>
      <c r="G11" s="196"/>
      <c r="H11" s="196"/>
      <c r="I11" s="196"/>
      <c r="J11" s="196"/>
      <c r="K11" s="250"/>
      <c r="L11" s="237"/>
      <c r="M11" s="196"/>
      <c r="N11" s="31"/>
      <c r="O11" s="215" t="b">
        <v>0</v>
      </c>
      <c r="P11" s="216" t="b">
        <f t="shared" si="0"/>
        <v>0</v>
      </c>
      <c r="Q11" s="214"/>
      <c r="R11" s="214"/>
      <c r="S11" s="214"/>
    </row>
    <row r="12" spans="1:19" ht="19.5" customHeight="1">
      <c r="A12" s="72">
        <v>5</v>
      </c>
      <c r="B12" s="198"/>
      <c r="C12" s="198"/>
      <c r="D12" s="356"/>
      <c r="E12" s="273"/>
      <c r="F12" s="196"/>
      <c r="G12" s="196"/>
      <c r="H12" s="196"/>
      <c r="I12" s="196"/>
      <c r="J12" s="196"/>
      <c r="K12" s="250"/>
      <c r="L12" s="237"/>
      <c r="M12" s="196"/>
      <c r="N12" s="31"/>
      <c r="O12" s="215" t="b">
        <v>0</v>
      </c>
      <c r="P12" s="216" t="b">
        <f t="shared" si="0"/>
        <v>0</v>
      </c>
      <c r="Q12" s="214"/>
      <c r="R12" s="486"/>
      <c r="S12" s="214"/>
    </row>
    <row r="13" spans="1:19" ht="19.5" customHeight="1">
      <c r="A13" s="72">
        <v>6</v>
      </c>
      <c r="B13" s="198"/>
      <c r="C13" s="356"/>
      <c r="D13" s="356"/>
      <c r="E13" s="273"/>
      <c r="F13" s="196"/>
      <c r="G13" s="196"/>
      <c r="H13" s="196"/>
      <c r="I13" s="196"/>
      <c r="J13" s="196"/>
      <c r="K13" s="250"/>
      <c r="L13" s="237"/>
      <c r="M13" s="199"/>
      <c r="N13" s="238"/>
      <c r="O13" s="215" t="b">
        <v>0</v>
      </c>
      <c r="P13" s="216" t="b">
        <f t="shared" si="0"/>
        <v>0</v>
      </c>
      <c r="Q13" s="214"/>
      <c r="R13" s="214"/>
      <c r="S13" s="214"/>
    </row>
    <row r="14" spans="1:19" ht="19.5" customHeight="1">
      <c r="A14" s="72">
        <v>7</v>
      </c>
      <c r="B14" s="198"/>
      <c r="C14" s="198"/>
      <c r="D14" s="198"/>
      <c r="E14" s="273"/>
      <c r="F14" s="196"/>
      <c r="G14" s="196"/>
      <c r="H14" s="196"/>
      <c r="I14" s="196"/>
      <c r="J14" s="196"/>
      <c r="K14" s="250"/>
      <c r="L14" s="237"/>
      <c r="M14" s="196"/>
      <c r="N14" s="31"/>
      <c r="O14" s="215" t="b">
        <v>0</v>
      </c>
      <c r="P14" s="216" t="b">
        <f t="shared" si="0"/>
        <v>0</v>
      </c>
      <c r="Q14" s="214"/>
      <c r="R14" s="214"/>
      <c r="S14" s="214"/>
    </row>
    <row r="15" spans="1:19" ht="19.5" customHeight="1">
      <c r="A15" s="72">
        <v>8</v>
      </c>
      <c r="B15" s="198"/>
      <c r="C15" s="198"/>
      <c r="D15" s="198"/>
      <c r="E15" s="273"/>
      <c r="F15" s="196"/>
      <c r="G15" s="196"/>
      <c r="H15" s="196"/>
      <c r="I15" s="196"/>
      <c r="J15" s="196"/>
      <c r="K15" s="121"/>
      <c r="L15" s="239"/>
      <c r="M15" s="196"/>
      <c r="N15" s="31"/>
      <c r="O15" s="215" t="b">
        <v>0</v>
      </c>
      <c r="P15" s="216" t="b">
        <f t="shared" si="0"/>
        <v>0</v>
      </c>
      <c r="Q15" s="214"/>
      <c r="R15" s="214"/>
      <c r="S15" s="214"/>
    </row>
    <row r="16" spans="1:19" ht="19.5" customHeight="1">
      <c r="A16" s="72">
        <v>9</v>
      </c>
      <c r="B16" s="198"/>
      <c r="C16" s="198"/>
      <c r="D16" s="198"/>
      <c r="E16" s="273"/>
      <c r="F16" s="196"/>
      <c r="G16" s="196"/>
      <c r="H16" s="196"/>
      <c r="I16" s="196"/>
      <c r="J16" s="196"/>
      <c r="K16" s="121"/>
      <c r="L16" s="239"/>
      <c r="M16" s="196"/>
      <c r="N16" s="31"/>
      <c r="O16" s="215" t="b">
        <v>0</v>
      </c>
      <c r="P16" s="216" t="b">
        <f t="shared" si="0"/>
        <v>0</v>
      </c>
      <c r="Q16" s="214"/>
      <c r="R16" s="214"/>
      <c r="S16" s="214"/>
    </row>
    <row r="17" spans="1:19" ht="19.5" customHeight="1">
      <c r="A17" s="72">
        <v>10</v>
      </c>
      <c r="B17" s="198"/>
      <c r="C17" s="198"/>
      <c r="D17" s="198"/>
      <c r="E17" s="273"/>
      <c r="F17" s="196"/>
      <c r="G17" s="196"/>
      <c r="H17" s="196"/>
      <c r="I17" s="196"/>
      <c r="J17" s="196"/>
      <c r="K17" s="121"/>
      <c r="L17" s="239"/>
      <c r="M17" s="196"/>
      <c r="N17" s="31"/>
      <c r="O17" s="215" t="b">
        <v>0</v>
      </c>
      <c r="P17" s="216" t="b">
        <f t="shared" si="0"/>
        <v>0</v>
      </c>
      <c r="Q17" s="214"/>
      <c r="R17" s="214"/>
      <c r="S17" s="214"/>
    </row>
    <row r="18" spans="1:19" ht="19.5" customHeight="1">
      <c r="A18" s="72">
        <v>11</v>
      </c>
      <c r="B18" s="198"/>
      <c r="C18" s="198"/>
      <c r="D18" s="198"/>
      <c r="E18" s="273"/>
      <c r="F18" s="196"/>
      <c r="G18" s="196"/>
      <c r="H18" s="196"/>
      <c r="I18" s="196"/>
      <c r="J18" s="196"/>
      <c r="K18" s="121"/>
      <c r="L18" s="239"/>
      <c r="M18" s="196"/>
      <c r="N18" s="31"/>
      <c r="O18" s="215" t="b">
        <v>0</v>
      </c>
      <c r="P18" s="216" t="b">
        <f t="shared" si="0"/>
        <v>0</v>
      </c>
      <c r="Q18" s="214"/>
      <c r="R18" s="214"/>
      <c r="S18" s="214"/>
    </row>
    <row r="19" spans="1:19" ht="19.5" customHeight="1">
      <c r="A19" s="72">
        <v>12</v>
      </c>
      <c r="B19" s="198"/>
      <c r="C19" s="198"/>
      <c r="D19" s="198"/>
      <c r="E19" s="273"/>
      <c r="F19" s="196"/>
      <c r="G19" s="196"/>
      <c r="H19" s="196"/>
      <c r="I19" s="196"/>
      <c r="J19" s="196"/>
      <c r="K19" s="121"/>
      <c r="L19" s="239"/>
      <c r="M19" s="196"/>
      <c r="N19" s="31"/>
      <c r="O19" s="215" t="b">
        <v>0</v>
      </c>
      <c r="P19" s="216" t="b">
        <f t="shared" si="0"/>
        <v>0</v>
      </c>
      <c r="Q19" s="214"/>
      <c r="R19" s="214"/>
      <c r="S19" s="214"/>
    </row>
    <row r="20" spans="1:19" ht="19.5" customHeight="1">
      <c r="A20" s="72">
        <v>13</v>
      </c>
      <c r="B20" s="198"/>
      <c r="C20" s="198"/>
      <c r="D20" s="198"/>
      <c r="E20" s="273"/>
      <c r="F20" s="196"/>
      <c r="G20" s="196"/>
      <c r="H20" s="196"/>
      <c r="I20" s="196"/>
      <c r="J20" s="196"/>
      <c r="K20" s="121"/>
      <c r="L20" s="239"/>
      <c r="M20" s="196"/>
      <c r="N20" s="31"/>
      <c r="O20" s="215" t="b">
        <v>0</v>
      </c>
      <c r="P20" s="216" t="b">
        <f t="shared" si="0"/>
        <v>0</v>
      </c>
      <c r="Q20" s="214"/>
      <c r="R20" s="214"/>
      <c r="S20" s="214"/>
    </row>
    <row r="21" spans="1:19" ht="19.5" customHeight="1">
      <c r="A21" s="72">
        <v>14</v>
      </c>
      <c r="B21" s="198"/>
      <c r="C21" s="198"/>
      <c r="D21" s="198"/>
      <c r="E21" s="273"/>
      <c r="F21" s="196"/>
      <c r="G21" s="196"/>
      <c r="H21" s="196"/>
      <c r="I21" s="196"/>
      <c r="J21" s="196"/>
      <c r="K21" s="121"/>
      <c r="L21" s="239"/>
      <c r="M21" s="199"/>
      <c r="N21" s="31"/>
      <c r="O21" s="215" t="b">
        <v>0</v>
      </c>
      <c r="P21" s="216" t="b">
        <f t="shared" si="0"/>
        <v>0</v>
      </c>
      <c r="Q21" s="214"/>
      <c r="R21" s="214"/>
      <c r="S21" s="214"/>
    </row>
    <row r="22" spans="1:19" ht="19.5" customHeight="1" thickBot="1">
      <c r="A22" s="72">
        <v>15</v>
      </c>
      <c r="B22" s="255"/>
      <c r="C22" s="255"/>
      <c r="D22" s="255"/>
      <c r="E22" s="274"/>
      <c r="F22" s="200"/>
      <c r="G22" s="200"/>
      <c r="H22" s="200"/>
      <c r="I22" s="200"/>
      <c r="J22" s="200"/>
      <c r="K22" s="251"/>
      <c r="L22" s="240"/>
      <c r="M22" s="200"/>
      <c r="N22" s="31"/>
      <c r="O22" s="215" t="b">
        <v>0</v>
      </c>
      <c r="P22" s="216" t="b">
        <f t="shared" si="0"/>
        <v>0</v>
      </c>
      <c r="Q22" s="214"/>
      <c r="R22" s="214"/>
      <c r="S22" s="214"/>
    </row>
    <row r="23" spans="1:19" ht="19.5" customHeight="1">
      <c r="A23" s="487"/>
      <c r="B23" s="354"/>
      <c r="C23" s="241"/>
      <c r="D23" s="241"/>
      <c r="E23" s="548" t="s">
        <v>158</v>
      </c>
      <c r="F23" s="548"/>
      <c r="G23" s="548"/>
      <c r="H23" s="546" t="str">
        <f>'Daily Mileage Log'!C3</f>
        <v>December, 2013</v>
      </c>
      <c r="I23" s="546"/>
      <c r="J23" s="241"/>
      <c r="K23" s="241"/>
      <c r="L23" s="241"/>
      <c r="M23" s="242"/>
      <c r="N23" s="31"/>
      <c r="O23" s="217">
        <f>COUNTIF(O8:O22,TRUE)</f>
        <v>0</v>
      </c>
      <c r="P23" s="227">
        <f>COUNTIF(P8:P22,TRUE)</f>
        <v>0</v>
      </c>
      <c r="Q23" s="214"/>
      <c r="R23" s="214"/>
      <c r="S23" s="214"/>
    </row>
    <row r="24" spans="2:16" ht="18" customHeight="1" thickBot="1">
      <c r="B24" s="247"/>
      <c r="C24" s="228"/>
      <c r="D24" s="228"/>
      <c r="E24" s="549"/>
      <c r="F24" s="549"/>
      <c r="G24" s="549"/>
      <c r="H24" s="547"/>
      <c r="I24" s="547"/>
      <c r="J24" s="228"/>
      <c r="K24" s="228"/>
      <c r="L24" s="550" t="s">
        <v>164</v>
      </c>
      <c r="M24" s="551"/>
      <c r="N24" s="219"/>
      <c r="O24" s="219"/>
      <c r="P24" s="31"/>
    </row>
    <row r="25" spans="1:16" ht="17.25" customHeight="1">
      <c r="A25" s="72">
        <v>1</v>
      </c>
      <c r="B25" s="197"/>
      <c r="C25" s="197"/>
      <c r="D25" s="197"/>
      <c r="E25" s="275"/>
      <c r="F25" s="197"/>
      <c r="G25" s="197"/>
      <c r="H25" s="197"/>
      <c r="I25" s="197"/>
      <c r="J25" s="197"/>
      <c r="K25" s="252"/>
      <c r="L25" s="543"/>
      <c r="M25" s="544"/>
      <c r="N25" s="243"/>
      <c r="O25" s="219"/>
      <c r="P25" s="219"/>
    </row>
    <row r="26" spans="1:16" ht="17.25" customHeight="1">
      <c r="A26" s="72">
        <v>2</v>
      </c>
      <c r="B26" s="196"/>
      <c r="C26" s="196"/>
      <c r="D26" s="196"/>
      <c r="E26" s="273"/>
      <c r="F26" s="196"/>
      <c r="G26" s="196"/>
      <c r="H26" s="196"/>
      <c r="I26" s="196"/>
      <c r="J26" s="196"/>
      <c r="K26" s="253"/>
      <c r="L26" s="525"/>
      <c r="M26" s="526"/>
      <c r="N26" s="219"/>
      <c r="O26" s="219"/>
      <c r="P26" s="31"/>
    </row>
    <row r="27" spans="1:16" ht="17.25" customHeight="1">
      <c r="A27" s="72">
        <v>3</v>
      </c>
      <c r="B27" s="196"/>
      <c r="C27" s="196"/>
      <c r="D27" s="196"/>
      <c r="E27" s="273"/>
      <c r="F27" s="196"/>
      <c r="G27" s="196"/>
      <c r="H27" s="196"/>
      <c r="I27" s="196"/>
      <c r="J27" s="196"/>
      <c r="K27" s="253"/>
      <c r="L27" s="525"/>
      <c r="M27" s="526"/>
      <c r="N27" s="219"/>
      <c r="O27" s="244"/>
      <c r="P27" s="31"/>
    </row>
    <row r="28" spans="1:16" ht="17.25" customHeight="1">
      <c r="A28" s="72">
        <v>4</v>
      </c>
      <c r="B28" s="196"/>
      <c r="C28" s="196"/>
      <c r="D28" s="196"/>
      <c r="E28" s="273"/>
      <c r="F28" s="196"/>
      <c r="G28" s="196"/>
      <c r="H28" s="196"/>
      <c r="I28" s="196"/>
      <c r="J28" s="196"/>
      <c r="K28" s="253"/>
      <c r="L28" s="525"/>
      <c r="M28" s="526"/>
      <c r="N28" s="219"/>
      <c r="O28" s="31"/>
      <c r="P28" s="31"/>
    </row>
    <row r="29" spans="1:16" ht="17.25" customHeight="1">
      <c r="A29" s="72">
        <v>5</v>
      </c>
      <c r="B29" s="196"/>
      <c r="C29" s="196"/>
      <c r="D29" s="196"/>
      <c r="E29" s="273"/>
      <c r="F29" s="196"/>
      <c r="G29" s="196"/>
      <c r="H29" s="196"/>
      <c r="I29" s="196"/>
      <c r="J29" s="196"/>
      <c r="K29" s="253"/>
      <c r="L29" s="525"/>
      <c r="M29" s="526"/>
      <c r="N29" s="219"/>
      <c r="O29" s="31"/>
      <c r="P29" s="31" t="s">
        <v>100</v>
      </c>
    </row>
    <row r="30" spans="14:16" ht="13.5" thickBot="1">
      <c r="N30" s="31"/>
      <c r="O30" s="244"/>
      <c r="P30" s="31"/>
    </row>
    <row r="31" spans="5:16" ht="12.75">
      <c r="E31" s="245" t="s">
        <v>145</v>
      </c>
      <c r="F31" s="189"/>
      <c r="G31" s="246"/>
      <c r="J31" s="245" t="s">
        <v>143</v>
      </c>
      <c r="K31" s="189"/>
      <c r="L31" s="189"/>
      <c r="M31" s="246"/>
      <c r="N31" s="31"/>
      <c r="O31" s="244"/>
      <c r="P31" s="31"/>
    </row>
    <row r="32" spans="5:16" ht="12.75">
      <c r="E32" s="190" t="s">
        <v>146</v>
      </c>
      <c r="F32" s="535"/>
      <c r="G32" s="537"/>
      <c r="J32" s="190" t="s">
        <v>182</v>
      </c>
      <c r="K32" s="535"/>
      <c r="L32" s="536"/>
      <c r="M32" s="537"/>
      <c r="N32" s="244"/>
      <c r="O32" s="244"/>
      <c r="P32" s="31"/>
    </row>
    <row r="33" spans="5:16" ht="12.75">
      <c r="E33" s="190" t="s">
        <v>147</v>
      </c>
      <c r="F33" s="538"/>
      <c r="G33" s="534"/>
      <c r="J33" s="190" t="s">
        <v>183</v>
      </c>
      <c r="K33" s="538"/>
      <c r="L33" s="533"/>
      <c r="M33" s="534"/>
      <c r="N33" s="244"/>
      <c r="O33" s="244"/>
      <c r="P33" s="31"/>
    </row>
    <row r="34" spans="5:16" ht="12.75">
      <c r="E34" s="190" t="s">
        <v>149</v>
      </c>
      <c r="F34" s="538"/>
      <c r="G34" s="534"/>
      <c r="J34" s="190"/>
      <c r="K34" s="533"/>
      <c r="L34" s="533"/>
      <c r="M34" s="534"/>
      <c r="N34" s="244"/>
      <c r="O34" s="244"/>
      <c r="P34" s="31"/>
    </row>
    <row r="35" spans="5:16" ht="12.75">
      <c r="E35" s="190" t="s">
        <v>150</v>
      </c>
      <c r="F35" s="538"/>
      <c r="G35" s="534"/>
      <c r="J35" s="190" t="s">
        <v>184</v>
      </c>
      <c r="K35" s="538"/>
      <c r="L35" s="533"/>
      <c r="M35" s="534"/>
      <c r="N35" s="244"/>
      <c r="O35" s="244"/>
      <c r="P35" s="31"/>
    </row>
    <row r="36" spans="5:16" ht="12.75">
      <c r="E36" s="190" t="s">
        <v>181</v>
      </c>
      <c r="F36" s="538"/>
      <c r="G36" s="534"/>
      <c r="J36" s="190"/>
      <c r="K36" s="533"/>
      <c r="L36" s="533"/>
      <c r="M36" s="534"/>
      <c r="N36" s="244"/>
      <c r="O36" s="31"/>
      <c r="P36" s="31"/>
    </row>
    <row r="37" spans="5:16" ht="12.75">
      <c r="E37" s="190"/>
      <c r="F37" s="31"/>
      <c r="G37" s="191" t="s">
        <v>100</v>
      </c>
      <c r="J37" s="190"/>
      <c r="K37" s="533"/>
      <c r="L37" s="533"/>
      <c r="M37" s="534"/>
      <c r="N37" s="244"/>
      <c r="O37" s="31"/>
      <c r="P37" s="31"/>
    </row>
    <row r="38" spans="5:16" ht="13.5" thickBot="1">
      <c r="E38" s="247"/>
      <c r="F38" s="228"/>
      <c r="G38" s="248"/>
      <c r="J38" s="247"/>
      <c r="K38" s="228"/>
      <c r="L38" s="228"/>
      <c r="M38" s="248"/>
      <c r="N38" s="31"/>
      <c r="O38" s="31"/>
      <c r="P38" s="31"/>
    </row>
    <row r="39" spans="14:16" ht="12.75">
      <c r="N39" s="31"/>
      <c r="O39" s="31"/>
      <c r="P39" s="31"/>
    </row>
    <row r="47" ht="12.75">
      <c r="K47" s="54" t="s">
        <v>185</v>
      </c>
    </row>
  </sheetData>
  <sheetProtection password="E4A4" sheet="1" objects="1" scenarios="1" selectLockedCells="1"/>
  <mergeCells count="32">
    <mergeCell ref="J1:K1"/>
    <mergeCell ref="H23:I24"/>
    <mergeCell ref="E23:G24"/>
    <mergeCell ref="L24:M24"/>
    <mergeCell ref="E1:G2"/>
    <mergeCell ref="H1:H2"/>
    <mergeCell ref="E5:F6"/>
    <mergeCell ref="G5:G6"/>
    <mergeCell ref="F36:G36"/>
    <mergeCell ref="F35:G35"/>
    <mergeCell ref="K36:M36"/>
    <mergeCell ref="L29:M29"/>
    <mergeCell ref="L25:M25"/>
    <mergeCell ref="L26:M26"/>
    <mergeCell ref="K37:M37"/>
    <mergeCell ref="D4:D7"/>
    <mergeCell ref="K32:M32"/>
    <mergeCell ref="K33:M33"/>
    <mergeCell ref="K34:M34"/>
    <mergeCell ref="K35:M35"/>
    <mergeCell ref="F32:G32"/>
    <mergeCell ref="F33:G33"/>
    <mergeCell ref="F34:G34"/>
    <mergeCell ref="L4:M6"/>
    <mergeCell ref="S8:S9"/>
    <mergeCell ref="C4:C7"/>
    <mergeCell ref="B4:B7"/>
    <mergeCell ref="L27:M27"/>
    <mergeCell ref="L28:M28"/>
    <mergeCell ref="O6:O7"/>
    <mergeCell ref="P6:P7"/>
    <mergeCell ref="R8:R9"/>
  </mergeCells>
  <printOptions horizontalCentered="1" verticalCentered="1"/>
  <pageMargins left="0.2" right="0.2" top="0.47" bottom="0.19" header="0.27" footer="0.17"/>
  <pageSetup fitToHeight="1" fitToWidth="1" horizontalDpi="600" verticalDpi="600" orientation="landscape" scale="78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AT47"/>
  <sheetViews>
    <sheetView showGridLines="0" zoomScalePageLayoutView="0" workbookViewId="0" topLeftCell="A2">
      <selection activeCell="C8" sqref="C8"/>
    </sheetView>
  </sheetViews>
  <sheetFormatPr defaultColWidth="9.140625" defaultRowHeight="12.75"/>
  <cols>
    <col min="1" max="1" width="4.00390625" style="45" customWidth="1"/>
    <col min="2" max="2" width="16.28125" style="4" customWidth="1"/>
    <col min="3" max="33" width="3.140625" style="4" customWidth="1"/>
    <col min="34" max="34" width="5.7109375" style="4" customWidth="1"/>
    <col min="35" max="36" width="5.7109375" style="45" customWidth="1"/>
    <col min="37" max="37" width="0.71875" style="4" customWidth="1"/>
    <col min="38" max="38" width="9.8515625" style="45" customWidth="1"/>
    <col min="39" max="39" width="8.7109375" style="45" customWidth="1"/>
    <col min="40" max="40" width="9.8515625" style="45" customWidth="1"/>
    <col min="41" max="41" width="4.8515625" style="4" hidden="1" customWidth="1"/>
    <col min="42" max="42" width="5.7109375" style="4" hidden="1" customWidth="1"/>
    <col min="43" max="43" width="9.00390625" style="4" hidden="1" customWidth="1"/>
    <col min="44" max="44" width="6.7109375" style="32" hidden="1" customWidth="1"/>
    <col min="45" max="46" width="9.140625" style="4" hidden="1" customWidth="1"/>
    <col min="47" max="16384" width="9.140625" style="4" customWidth="1"/>
  </cols>
  <sheetData>
    <row r="1" spans="3:33" ht="12.75" hidden="1">
      <c r="C1" s="4">
        <f>IF(ISERROR(VLOOKUP('Ridership Report'!C7,'Daily Mileage Log'!$A$11:$F$46,6,FALSE)),0,VLOOKUP('Ridership Report'!C7,'Daily Mileage Log'!$A$11:$F$46,6,FALSE))</f>
        <v>0</v>
      </c>
      <c r="D1" s="4">
        <f>IF(ISERROR(VLOOKUP('Ridership Report'!D7,'Daily Mileage Log'!$A$11:$F$46,6,FALSE)),0,VLOOKUP('Ridership Report'!D7,'Daily Mileage Log'!$A$11:$F$46,6,FALSE))</f>
        <v>0</v>
      </c>
      <c r="E1" s="4">
        <f>IF(ISERROR(VLOOKUP('Ridership Report'!E7,'Daily Mileage Log'!$A$11:$F$46,6,FALSE)),0,VLOOKUP('Ridership Report'!E7,'Daily Mileage Log'!$A$11:$F$46,6,FALSE))</f>
        <v>0</v>
      </c>
      <c r="F1" s="4">
        <f>IF(ISERROR(VLOOKUP('Ridership Report'!F7,'Daily Mileage Log'!$A$11:$F$46,6,FALSE)),0,VLOOKUP('Ridership Report'!F7,'Daily Mileage Log'!$A$11:$F$46,6,FALSE))</f>
        <v>0</v>
      </c>
      <c r="G1" s="4">
        <f>IF(ISERROR(VLOOKUP('Ridership Report'!G7,'Daily Mileage Log'!$A$11:$F$46,6,FALSE)),0,VLOOKUP('Ridership Report'!G7,'Daily Mileage Log'!$A$11:$F$46,6,FALSE))</f>
        <v>0</v>
      </c>
      <c r="H1" s="4">
        <f>IF(ISERROR(VLOOKUP('Ridership Report'!H7,'Daily Mileage Log'!$A$11:$F$46,6,FALSE)),0,VLOOKUP('Ridership Report'!H7,'Daily Mileage Log'!$A$11:$F$46,6,FALSE))</f>
        <v>0</v>
      </c>
      <c r="I1" s="4">
        <f>IF(ISERROR(VLOOKUP('Ridership Report'!I7,'Daily Mileage Log'!$A$11:$F$46,6,FALSE)),0,VLOOKUP('Ridership Report'!I7,'Daily Mileage Log'!$A$11:$F$46,6,FALSE))</f>
        <v>0</v>
      </c>
      <c r="J1" s="4">
        <f>IF(ISERROR(VLOOKUP('Ridership Report'!J7,'Daily Mileage Log'!$A$11:$F$46,6,FALSE)),0,VLOOKUP('Ridership Report'!J7,'Daily Mileage Log'!$A$11:$F$46,6,FALSE))</f>
        <v>0</v>
      </c>
      <c r="K1" s="4">
        <f>IF(ISERROR(VLOOKUP('Ridership Report'!K7,'Daily Mileage Log'!$A$11:$F$46,6,FALSE)),0,VLOOKUP('Ridership Report'!K7,'Daily Mileage Log'!$A$11:$F$46,6,FALSE))</f>
        <v>0</v>
      </c>
      <c r="L1" s="4">
        <f>IF(ISERROR(VLOOKUP('Ridership Report'!L7,'Daily Mileage Log'!$A$11:$F$46,6,FALSE)),0,VLOOKUP('Ridership Report'!L7,'Daily Mileage Log'!$A$11:$F$46,6,FALSE))</f>
        <v>0</v>
      </c>
      <c r="M1" s="4">
        <f>IF(ISERROR(VLOOKUP('Ridership Report'!M7,'Daily Mileage Log'!$A$11:$F$46,6,FALSE)),0,VLOOKUP('Ridership Report'!M7,'Daily Mileage Log'!$A$11:$F$46,6,FALSE))</f>
        <v>0</v>
      </c>
      <c r="N1" s="4">
        <f>IF(ISERROR(VLOOKUP('Ridership Report'!N7,'Daily Mileage Log'!$A$11:$F$46,6,FALSE)),0,VLOOKUP('Ridership Report'!N7,'Daily Mileage Log'!$A$11:$F$46,6,FALSE))</f>
        <v>0</v>
      </c>
      <c r="O1" s="4">
        <f>IF(ISERROR(VLOOKUP('Ridership Report'!O7,'Daily Mileage Log'!$A$11:$F$46,6,FALSE)),0,VLOOKUP('Ridership Report'!O7,'Daily Mileage Log'!$A$11:$F$46,6,FALSE))</f>
        <v>0</v>
      </c>
      <c r="P1" s="4">
        <f>IF(ISERROR(VLOOKUP('Ridership Report'!P7,'Daily Mileage Log'!$A$11:$F$46,6,FALSE)),0,VLOOKUP('Ridership Report'!P7,'Daily Mileage Log'!$A$11:$F$46,6,FALSE))</f>
        <v>0</v>
      </c>
      <c r="Q1" s="4">
        <f>IF(ISERROR(VLOOKUP('Ridership Report'!Q7,'Daily Mileage Log'!$A$11:$F$46,6,FALSE)),0,VLOOKUP('Ridership Report'!Q7,'Daily Mileage Log'!$A$11:$F$46,6,FALSE))</f>
        <v>0</v>
      </c>
      <c r="R1" s="4">
        <f>IF(ISERROR(VLOOKUP('Ridership Report'!R7,'Daily Mileage Log'!$A$11:$F$46,6,FALSE)),0,VLOOKUP('Ridership Report'!R7,'Daily Mileage Log'!$A$11:$F$46,6,FALSE))</f>
        <v>0</v>
      </c>
      <c r="S1" s="4">
        <f>IF(ISERROR(VLOOKUP('Ridership Report'!S7,'Daily Mileage Log'!$A$11:$F$46,6,FALSE)),0,VLOOKUP('Ridership Report'!S7,'Daily Mileage Log'!$A$11:$F$46,6,FALSE))</f>
        <v>0</v>
      </c>
      <c r="T1" s="4">
        <f>IF(ISERROR(VLOOKUP('Ridership Report'!T7,'Daily Mileage Log'!$A$11:$F$46,6,FALSE)),0,VLOOKUP('Ridership Report'!T7,'Daily Mileage Log'!$A$11:$F$46,6,FALSE))</f>
        <v>0</v>
      </c>
      <c r="U1" s="4">
        <f>IF(ISERROR(VLOOKUP('Ridership Report'!U7,'Daily Mileage Log'!$A$11:$F$46,6,FALSE)),0,VLOOKUP('Ridership Report'!U7,'Daily Mileage Log'!$A$11:$F$46,6,FALSE))</f>
        <v>0</v>
      </c>
      <c r="V1" s="4">
        <f>IF(ISERROR(VLOOKUP('Ridership Report'!V7,'Daily Mileage Log'!$A$11:$F$46,6,FALSE)),0,VLOOKUP('Ridership Report'!V7,'Daily Mileage Log'!$A$11:$F$46,6,FALSE))</f>
        <v>0</v>
      </c>
      <c r="W1" s="4">
        <f>IF(ISERROR(VLOOKUP('Ridership Report'!W7,'Daily Mileage Log'!$A$11:$F$46,6,FALSE)),0,VLOOKUP('Ridership Report'!W7,'Daily Mileage Log'!$A$11:$F$46,6,FALSE))</f>
        <v>0</v>
      </c>
      <c r="X1" s="4">
        <f>IF(ISERROR(VLOOKUP('Ridership Report'!X7,'Daily Mileage Log'!$A$11:$F$46,6,FALSE)),0,VLOOKUP('Ridership Report'!X7,'Daily Mileage Log'!$A$11:$F$46,6,FALSE))</f>
        <v>0</v>
      </c>
      <c r="Y1" s="4">
        <f>IF(ISERROR(VLOOKUP('Ridership Report'!Y7,'Daily Mileage Log'!$A$11:$F$46,6,FALSE)),0,VLOOKUP('Ridership Report'!Y7,'Daily Mileage Log'!$A$11:$F$46,6,FALSE))</f>
        <v>0</v>
      </c>
      <c r="Z1" s="4">
        <f>IF(ISERROR(VLOOKUP('Ridership Report'!Z7,'Daily Mileage Log'!$A$11:$F$46,6,FALSE)),0,VLOOKUP('Ridership Report'!Z7,'Daily Mileage Log'!$A$11:$F$46,6,FALSE))</f>
        <v>0</v>
      </c>
      <c r="AA1" s="4">
        <f>IF(ISERROR(VLOOKUP('Ridership Report'!AA7,'Daily Mileage Log'!$A$11:$F$46,6,FALSE)),0,VLOOKUP('Ridership Report'!AA7,'Daily Mileage Log'!$A$11:$F$46,6,FALSE))</f>
        <v>0</v>
      </c>
      <c r="AB1" s="4">
        <f>IF(ISERROR(VLOOKUP('Ridership Report'!AB7,'Daily Mileage Log'!$A$11:$F$46,6,FALSE)),0,VLOOKUP('Ridership Report'!AB7,'Daily Mileage Log'!$A$11:$F$46,6,FALSE))</f>
        <v>0</v>
      </c>
      <c r="AC1" s="4">
        <f>IF(ISERROR(VLOOKUP('Ridership Report'!AC7,'Daily Mileage Log'!$A$11:$F$46,6,FALSE)),0,VLOOKUP('Ridership Report'!AC7,'Daily Mileage Log'!$A$11:$F$46,6,FALSE))</f>
        <v>0</v>
      </c>
      <c r="AD1" s="4">
        <f>IF(ISERROR(VLOOKUP('Ridership Report'!AD7,'Daily Mileage Log'!$A$11:$F$46,6,FALSE)),0,VLOOKUP('Ridership Report'!AD7,'Daily Mileage Log'!$A$11:$F$46,6,FALSE))</f>
        <v>0</v>
      </c>
      <c r="AE1" s="4">
        <f>IF(ISERROR(VLOOKUP('Ridership Report'!AE7,'Daily Mileage Log'!$A$11:$F$46,6,FALSE)),0,VLOOKUP('Ridership Report'!AE7,'Daily Mileage Log'!$A$11:$F$46,6,FALSE))</f>
        <v>0</v>
      </c>
      <c r="AF1" s="4">
        <f>IF(ISERROR(VLOOKUP('Ridership Report'!AF7,'Daily Mileage Log'!$A$11:$F$46,6,FALSE)),0,VLOOKUP('Ridership Report'!AF7,'Daily Mileage Log'!$A$11:$F$46,6,FALSE))</f>
        <v>0</v>
      </c>
      <c r="AG1" s="4">
        <f>IF(ISERROR(VLOOKUP('Ridership Report'!AG7,'Daily Mileage Log'!$A$11:$F$46,6,FALSE)),0,VLOOKUP('Ridership Report'!AG7,'Daily Mileage Log'!$A$11:$F$46,6,FALSE))</f>
        <v>0</v>
      </c>
    </row>
    <row r="2" spans="1:44" ht="18.75">
      <c r="A2" s="36"/>
      <c r="B2" s="37"/>
      <c r="C2" s="37"/>
      <c r="D2" s="38"/>
      <c r="E2" s="38"/>
      <c r="F2" s="38"/>
      <c r="G2" s="38"/>
      <c r="H2" s="38"/>
      <c r="I2" s="38"/>
      <c r="J2" s="38"/>
      <c r="K2" s="38"/>
      <c r="L2" s="38"/>
      <c r="M2" s="39"/>
      <c r="O2" s="562" t="s">
        <v>192</v>
      </c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  <c r="AD2" s="562"/>
      <c r="AE2" s="562"/>
      <c r="AH2" s="40" t="s">
        <v>1</v>
      </c>
      <c r="AI2" s="41"/>
      <c r="AJ2" s="42"/>
      <c r="AK2" s="43"/>
      <c r="AL2" s="42"/>
      <c r="AM2" s="42"/>
      <c r="AN2" s="42"/>
      <c r="AR2" s="44"/>
    </row>
    <row r="3" spans="2:44" ht="12.75" customHeight="1">
      <c r="B3" s="578" t="s">
        <v>128</v>
      </c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3" t="str">
        <f>'Daily Mileage Log'!C3</f>
        <v>December, 2013</v>
      </c>
      <c r="N3" s="573"/>
      <c r="O3" s="573"/>
      <c r="P3" s="573"/>
      <c r="Q3" s="573"/>
      <c r="R3" s="573"/>
      <c r="S3" s="573"/>
      <c r="T3" s="573"/>
      <c r="U3" s="573"/>
      <c r="W3" s="566" t="s">
        <v>88</v>
      </c>
      <c r="X3" s="566"/>
      <c r="Y3" s="566"/>
      <c r="Z3" s="566"/>
      <c r="AA3" s="566"/>
      <c r="AB3" s="566"/>
      <c r="AC3" s="566"/>
      <c r="AD3" s="567">
        <f>COUNTIF(AQ11:AQ25,TRUE)</f>
        <v>0</v>
      </c>
      <c r="AE3" s="567"/>
      <c r="AH3" s="574" t="s">
        <v>46</v>
      </c>
      <c r="AI3" s="588" t="s">
        <v>47</v>
      </c>
      <c r="AJ3" s="574" t="s">
        <v>48</v>
      </c>
      <c r="AK3" s="46"/>
      <c r="AL3" s="585" t="s">
        <v>49</v>
      </c>
      <c r="AM3" s="598" t="s">
        <v>50</v>
      </c>
      <c r="AN3" s="585" t="s">
        <v>51</v>
      </c>
      <c r="AR3" s="31"/>
    </row>
    <row r="4" spans="2:43" ht="12.75" customHeight="1"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3"/>
      <c r="N4" s="573"/>
      <c r="O4" s="573"/>
      <c r="P4" s="573"/>
      <c r="Q4" s="573"/>
      <c r="R4" s="573"/>
      <c r="S4" s="573"/>
      <c r="T4" s="573"/>
      <c r="U4" s="573"/>
      <c r="W4" s="566"/>
      <c r="X4" s="566"/>
      <c r="Y4" s="566"/>
      <c r="Z4" s="566"/>
      <c r="AA4" s="566"/>
      <c r="AB4" s="566"/>
      <c r="AC4" s="566"/>
      <c r="AD4" s="567"/>
      <c r="AE4" s="567"/>
      <c r="AH4" s="575"/>
      <c r="AI4" s="589"/>
      <c r="AJ4" s="575"/>
      <c r="AK4" s="46"/>
      <c r="AL4" s="586"/>
      <c r="AM4" s="599"/>
      <c r="AN4" s="586"/>
      <c r="AQ4" s="47"/>
    </row>
    <row r="5" spans="2:43" ht="12.75" customHeight="1">
      <c r="B5" s="579" t="s">
        <v>129</v>
      </c>
      <c r="C5" s="579"/>
      <c r="D5" s="51"/>
      <c r="E5" s="51"/>
      <c r="F5" s="51"/>
      <c r="G5" s="51"/>
      <c r="H5" s="51"/>
      <c r="I5" s="51"/>
      <c r="J5" s="51"/>
      <c r="K5" s="51"/>
      <c r="L5" s="51"/>
      <c r="M5" s="566" t="s">
        <v>191</v>
      </c>
      <c r="N5" s="564"/>
      <c r="O5" s="564"/>
      <c r="P5" s="564"/>
      <c r="Q5" s="564"/>
      <c r="R5" s="564"/>
      <c r="S5" s="564"/>
      <c r="T5" s="564"/>
      <c r="U5" s="563">
        <f>'Daily Mileage Log'!E5</f>
        <v>0</v>
      </c>
      <c r="V5" s="564"/>
      <c r="X5" s="566" t="s">
        <v>190</v>
      </c>
      <c r="Y5" s="564"/>
      <c r="Z5" s="564"/>
      <c r="AA5" s="564"/>
      <c r="AB5" s="564"/>
      <c r="AC5" s="564"/>
      <c r="AD5" s="577">
        <f>'Daily Mileage Log'!H5</f>
        <v>0</v>
      </c>
      <c r="AE5" s="564"/>
      <c r="AF5" s="48"/>
      <c r="AH5" s="575"/>
      <c r="AI5" s="589"/>
      <c r="AJ5" s="575"/>
      <c r="AK5" s="46"/>
      <c r="AL5" s="586"/>
      <c r="AM5" s="599"/>
      <c r="AN5" s="586"/>
      <c r="AO5" s="591"/>
      <c r="AP5" s="592"/>
      <c r="AQ5" s="47"/>
    </row>
    <row r="6" spans="2:43" ht="12.75" customHeight="1">
      <c r="B6" s="580"/>
      <c r="C6" s="580"/>
      <c r="D6" s="201"/>
      <c r="E6" s="201"/>
      <c r="F6" s="201"/>
      <c r="G6" s="201"/>
      <c r="H6" s="201"/>
      <c r="I6" s="201"/>
      <c r="J6" s="201"/>
      <c r="K6" s="201"/>
      <c r="L6" s="201"/>
      <c r="M6" s="565"/>
      <c r="N6" s="565"/>
      <c r="O6" s="565"/>
      <c r="P6" s="565"/>
      <c r="Q6" s="565"/>
      <c r="R6" s="565"/>
      <c r="S6" s="565"/>
      <c r="T6" s="565"/>
      <c r="U6" s="565"/>
      <c r="V6" s="565"/>
      <c r="W6" s="125"/>
      <c r="X6" s="565"/>
      <c r="Y6" s="565"/>
      <c r="Z6" s="565"/>
      <c r="AA6" s="565"/>
      <c r="AB6" s="565"/>
      <c r="AC6" s="565"/>
      <c r="AD6" s="565"/>
      <c r="AE6" s="565"/>
      <c r="AF6" s="125"/>
      <c r="AG6" s="157"/>
      <c r="AH6" s="575"/>
      <c r="AI6" s="589"/>
      <c r="AJ6" s="575"/>
      <c r="AK6" s="46"/>
      <c r="AL6" s="586"/>
      <c r="AM6" s="599"/>
      <c r="AN6" s="586"/>
      <c r="AQ6" s="583" t="s">
        <v>57</v>
      </c>
    </row>
    <row r="7" spans="1:46" ht="13.5" thickBot="1">
      <c r="A7" s="174"/>
      <c r="B7" s="173" t="s">
        <v>89</v>
      </c>
      <c r="C7" s="70">
        <v>1</v>
      </c>
      <c r="D7" s="70">
        <v>2</v>
      </c>
      <c r="E7" s="70">
        <v>3</v>
      </c>
      <c r="F7" s="70">
        <v>4</v>
      </c>
      <c r="G7" s="70">
        <v>5</v>
      </c>
      <c r="H7" s="70">
        <v>6</v>
      </c>
      <c r="I7" s="70">
        <v>7</v>
      </c>
      <c r="J7" s="70">
        <v>8</v>
      </c>
      <c r="K7" s="70">
        <v>9</v>
      </c>
      <c r="L7" s="70">
        <v>10</v>
      </c>
      <c r="M7" s="70">
        <v>11</v>
      </c>
      <c r="N7" s="70">
        <v>12</v>
      </c>
      <c r="O7" s="70">
        <v>13</v>
      </c>
      <c r="P7" s="70">
        <v>14</v>
      </c>
      <c r="Q7" s="70">
        <v>15</v>
      </c>
      <c r="R7" s="70">
        <v>16</v>
      </c>
      <c r="S7" s="70">
        <v>17</v>
      </c>
      <c r="T7" s="70">
        <v>18</v>
      </c>
      <c r="U7" s="70">
        <v>19</v>
      </c>
      <c r="V7" s="70">
        <v>20</v>
      </c>
      <c r="W7" s="70">
        <v>21</v>
      </c>
      <c r="X7" s="70">
        <v>22</v>
      </c>
      <c r="Y7" s="70">
        <v>23</v>
      </c>
      <c r="Z7" s="70">
        <v>24</v>
      </c>
      <c r="AA7" s="70">
        <v>25</v>
      </c>
      <c r="AB7" s="70">
        <v>26</v>
      </c>
      <c r="AC7" s="70">
        <v>27</v>
      </c>
      <c r="AD7" s="70">
        <v>28</v>
      </c>
      <c r="AE7" s="70">
        <v>29</v>
      </c>
      <c r="AF7" s="70">
        <v>30</v>
      </c>
      <c r="AG7" s="70">
        <v>31</v>
      </c>
      <c r="AH7" s="576"/>
      <c r="AI7" s="590"/>
      <c r="AJ7" s="576"/>
      <c r="AK7" s="46"/>
      <c r="AL7" s="587"/>
      <c r="AM7" s="600"/>
      <c r="AN7" s="587"/>
      <c r="AQ7" s="583"/>
      <c r="AS7" s="186"/>
      <c r="AT7" s="54"/>
    </row>
    <row r="8" spans="1:46" ht="18" customHeight="1" thickTop="1">
      <c r="A8" s="71">
        <v>1</v>
      </c>
      <c r="B8" s="202" t="str">
        <f>IF(ISTEXT('Vanpool Roster'!E8),'Vanpool Roster'!E8," ")</f>
        <v> 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81">
        <f>COUNTIF(C8:AG8,"X")+COUNTIF(C8:AG8,"#")+COUNTIF(C8:AG8,"+")+COUNTIF(C8:AG8,"L")+COUNTIF(C8:AG8,"N")</f>
        <v>0</v>
      </c>
      <c r="AI8" s="81">
        <f>COUNTIF(C8:AG8,"\")+COUNTIF(C8:AG8,"-")</f>
        <v>0</v>
      </c>
      <c r="AJ8" s="249">
        <f>COUNTIF(C8:AG8,"+")+(COUNTIF(C8:AG8,"-")/2)+(COUNTIF(C8:AG8,"#")/2)</f>
        <v>0</v>
      </c>
      <c r="AL8" s="451"/>
      <c r="AM8" s="451"/>
      <c r="AN8" s="451"/>
      <c r="AO8" s="54"/>
      <c r="AQ8" s="583"/>
      <c r="AS8" s="54"/>
      <c r="AT8" s="54"/>
    </row>
    <row r="9" spans="1:46" ht="18" customHeight="1">
      <c r="A9" s="72">
        <v>2</v>
      </c>
      <c r="B9" s="202" t="str">
        <f>IF(ISTEXT('Vanpool Roster'!E9),'Vanpool Roster'!E9," ")</f>
        <v> </v>
      </c>
      <c r="C9" s="136"/>
      <c r="D9" s="136"/>
      <c r="E9" s="140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81">
        <f aca="true" t="shared" si="0" ref="AH9:AH22">COUNTIF(C9:AG9,"X")+COUNTIF(C9:AG9,"#")+COUNTIF(C9:AG9,"+")+COUNTIF(C9:AG9,"L")+COUNTIF(C9:AG9,"N")</f>
        <v>0</v>
      </c>
      <c r="AI9" s="81">
        <f aca="true" t="shared" si="1" ref="AI9:AI22">COUNTIF(C9:AG9,"\")+COUNTIF(C9:AG9,"-")</f>
        <v>0</v>
      </c>
      <c r="AJ9" s="249">
        <f aca="true" t="shared" si="2" ref="AJ9:AJ22">COUNTIF(C9:AG9,"+")+(COUNTIF(C9:AG9,"-")/2)+(COUNTIF(C9:AG9,"#")/2)</f>
        <v>0</v>
      </c>
      <c r="AL9" s="452"/>
      <c r="AM9" s="452"/>
      <c r="AN9" s="452"/>
      <c r="AQ9" s="583"/>
      <c r="AS9" s="54"/>
      <c r="AT9" s="54"/>
    </row>
    <row r="10" spans="1:46" ht="18" customHeight="1">
      <c r="A10" s="72">
        <v>3</v>
      </c>
      <c r="B10" s="202" t="str">
        <f>IF(ISTEXT('Vanpool Roster'!E10),'Vanpool Roster'!E10," ")</f>
        <v> </v>
      </c>
      <c r="C10" s="136"/>
      <c r="D10" s="136"/>
      <c r="E10" s="140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81">
        <f t="shared" si="0"/>
        <v>0</v>
      </c>
      <c r="AI10" s="81">
        <f t="shared" si="1"/>
        <v>0</v>
      </c>
      <c r="AJ10" s="249">
        <f t="shared" si="2"/>
        <v>0</v>
      </c>
      <c r="AL10" s="452"/>
      <c r="AM10" s="452"/>
      <c r="AN10" s="452"/>
      <c r="AQ10" s="584"/>
      <c r="AS10" s="54"/>
      <c r="AT10" s="54"/>
    </row>
    <row r="11" spans="1:46" ht="18" customHeight="1">
      <c r="A11" s="72">
        <v>4</v>
      </c>
      <c r="B11" s="202" t="str">
        <f>IF(ISTEXT('Vanpool Roster'!E11),'Vanpool Roster'!E11," ")</f>
        <v> </v>
      </c>
      <c r="C11" s="136"/>
      <c r="D11" s="136"/>
      <c r="E11" s="140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81">
        <f t="shared" si="0"/>
        <v>0</v>
      </c>
      <c r="AI11" s="81">
        <f t="shared" si="1"/>
        <v>0</v>
      </c>
      <c r="AJ11" s="249">
        <f t="shared" si="2"/>
        <v>0</v>
      </c>
      <c r="AL11" s="453"/>
      <c r="AM11" s="452"/>
      <c r="AN11" s="452"/>
      <c r="AQ11" s="112" t="b">
        <f>ISTEXT('Vanpool Roster'!E8)</f>
        <v>0</v>
      </c>
      <c r="AR11" s="254" t="s">
        <v>74</v>
      </c>
      <c r="AS11" s="54"/>
      <c r="AT11" s="54"/>
    </row>
    <row r="12" spans="1:46" ht="18" customHeight="1">
      <c r="A12" s="72">
        <v>5</v>
      </c>
      <c r="B12" s="202" t="str">
        <f>IF(ISTEXT('Vanpool Roster'!E12),'Vanpool Roster'!E12," ")</f>
        <v> </v>
      </c>
      <c r="C12" s="136"/>
      <c r="D12" s="136"/>
      <c r="E12" s="140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81">
        <f t="shared" si="0"/>
        <v>0</v>
      </c>
      <c r="AI12" s="81">
        <f t="shared" si="1"/>
        <v>0</v>
      </c>
      <c r="AJ12" s="249">
        <f t="shared" si="2"/>
        <v>0</v>
      </c>
      <c r="AL12" s="452"/>
      <c r="AM12" s="452"/>
      <c r="AN12" s="452"/>
      <c r="AQ12" s="112" t="b">
        <f>ISTEXT('Vanpool Roster'!E9)</f>
        <v>0</v>
      </c>
      <c r="AR12" s="254" t="s">
        <v>98</v>
      </c>
      <c r="AS12" s="54"/>
      <c r="AT12" s="54"/>
    </row>
    <row r="13" spans="1:46" ht="18" customHeight="1">
      <c r="A13" s="72">
        <v>6</v>
      </c>
      <c r="B13" s="202" t="str">
        <f>IF(ISTEXT('Vanpool Roster'!E13),'Vanpool Roster'!E13," ")</f>
        <v> </v>
      </c>
      <c r="C13" s="136"/>
      <c r="D13" s="136"/>
      <c r="E13" s="140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7"/>
      <c r="Y13" s="136"/>
      <c r="Z13" s="136"/>
      <c r="AA13" s="136"/>
      <c r="AB13" s="136"/>
      <c r="AC13" s="136"/>
      <c r="AD13" s="136"/>
      <c r="AE13" s="136"/>
      <c r="AF13" s="136"/>
      <c r="AG13" s="136"/>
      <c r="AH13" s="81">
        <f t="shared" si="0"/>
        <v>0</v>
      </c>
      <c r="AI13" s="81">
        <f t="shared" si="1"/>
        <v>0</v>
      </c>
      <c r="AJ13" s="249">
        <f t="shared" si="2"/>
        <v>0</v>
      </c>
      <c r="AL13" s="452"/>
      <c r="AM13" s="452"/>
      <c r="AN13" s="452"/>
      <c r="AQ13" s="112" t="b">
        <f>ISTEXT('Vanpool Roster'!E10)</f>
        <v>0</v>
      </c>
      <c r="AR13" s="254" t="s">
        <v>194</v>
      </c>
      <c r="AS13" s="54"/>
      <c r="AT13" s="54" t="s">
        <v>100</v>
      </c>
    </row>
    <row r="14" spans="1:46" ht="18" customHeight="1">
      <c r="A14" s="72">
        <v>7</v>
      </c>
      <c r="B14" s="202" t="str">
        <f>IF(ISTEXT('Vanpool Roster'!E14),'Vanpool Roster'!E14," ")</f>
        <v> </v>
      </c>
      <c r="C14" s="136"/>
      <c r="D14" s="136"/>
      <c r="E14" s="140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81">
        <f t="shared" si="0"/>
        <v>0</v>
      </c>
      <c r="AI14" s="81">
        <f t="shared" si="1"/>
        <v>0</v>
      </c>
      <c r="AJ14" s="249">
        <f t="shared" si="2"/>
        <v>0</v>
      </c>
      <c r="AL14" s="452"/>
      <c r="AM14" s="452"/>
      <c r="AN14" s="452"/>
      <c r="AQ14" s="112" t="b">
        <f>ISTEXT('Vanpool Roster'!E11)</f>
        <v>0</v>
      </c>
      <c r="AR14" s="254" t="s">
        <v>73</v>
      </c>
      <c r="AS14" s="54"/>
      <c r="AT14" s="54"/>
    </row>
    <row r="15" spans="1:46" ht="18" customHeight="1">
      <c r="A15" s="72">
        <v>8</v>
      </c>
      <c r="B15" s="202" t="str">
        <f>IF(ISTEXT('Vanpool Roster'!E15),'Vanpool Roster'!E15," ")</f>
        <v> 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81">
        <f t="shared" si="0"/>
        <v>0</v>
      </c>
      <c r="AI15" s="81">
        <f t="shared" si="1"/>
        <v>0</v>
      </c>
      <c r="AJ15" s="249">
        <f t="shared" si="2"/>
        <v>0</v>
      </c>
      <c r="AL15" s="452"/>
      <c r="AM15" s="452"/>
      <c r="AN15" s="452"/>
      <c r="AQ15" s="112" t="b">
        <f>ISTEXT('Vanpool Roster'!E12)</f>
        <v>0</v>
      </c>
      <c r="AR15" s="254" t="s">
        <v>186</v>
      </c>
      <c r="AS15" s="54"/>
      <c r="AT15" s="54"/>
    </row>
    <row r="16" spans="1:46" ht="18" customHeight="1">
      <c r="A16" s="72">
        <v>9</v>
      </c>
      <c r="B16" s="202" t="str">
        <f>IF(ISTEXT('Vanpool Roster'!E16),'Vanpool Roster'!E16," ")</f>
        <v> 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81">
        <f t="shared" si="0"/>
        <v>0</v>
      </c>
      <c r="AI16" s="81">
        <f t="shared" si="1"/>
        <v>0</v>
      </c>
      <c r="AJ16" s="249">
        <f t="shared" si="2"/>
        <v>0</v>
      </c>
      <c r="AL16" s="453"/>
      <c r="AM16" s="452"/>
      <c r="AN16" s="452"/>
      <c r="AQ16" s="112" t="b">
        <f>ISTEXT('Vanpool Roster'!E13)</f>
        <v>0</v>
      </c>
      <c r="AR16" s="254" t="s">
        <v>75</v>
      </c>
      <c r="AS16" s="54"/>
      <c r="AT16" s="54"/>
    </row>
    <row r="17" spans="1:46" ht="18" customHeight="1" thickBot="1">
      <c r="A17" s="72">
        <v>10</v>
      </c>
      <c r="B17" s="202" t="str">
        <f>IF(ISTEXT('Vanpool Roster'!E17),'Vanpool Roster'!E17," ")</f>
        <v> 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81">
        <f t="shared" si="0"/>
        <v>0</v>
      </c>
      <c r="AI17" s="81">
        <f t="shared" si="1"/>
        <v>0</v>
      </c>
      <c r="AJ17" s="249">
        <f t="shared" si="2"/>
        <v>0</v>
      </c>
      <c r="AL17" s="453"/>
      <c r="AM17" s="452"/>
      <c r="AN17" s="452"/>
      <c r="AQ17" s="112" t="b">
        <f>ISTEXT('Vanpool Roster'!E14)</f>
        <v>0</v>
      </c>
      <c r="AR17" s="254" t="s">
        <v>80</v>
      </c>
      <c r="AS17" s="54"/>
      <c r="AT17" s="54"/>
    </row>
    <row r="18" spans="1:46" ht="18" customHeight="1">
      <c r="A18" s="72">
        <v>11</v>
      </c>
      <c r="B18" s="202" t="str">
        <f>IF(ISTEXT('Vanpool Roster'!E18),'Vanpool Roster'!E18," ")</f>
        <v> 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81">
        <f t="shared" si="0"/>
        <v>0</v>
      </c>
      <c r="AI18" s="81">
        <f t="shared" si="1"/>
        <v>0</v>
      </c>
      <c r="AJ18" s="249">
        <f t="shared" si="2"/>
        <v>0</v>
      </c>
      <c r="AL18" s="452"/>
      <c r="AM18" s="454"/>
      <c r="AN18" s="452"/>
      <c r="AQ18" s="112" t="b">
        <f>ISTEXT('Vanpool Roster'!E15)</f>
        <v>0</v>
      </c>
      <c r="AR18" s="254" t="s">
        <v>76</v>
      </c>
      <c r="AS18" s="569" t="s">
        <v>230</v>
      </c>
      <c r="AT18" s="571" t="s">
        <v>231</v>
      </c>
    </row>
    <row r="19" spans="1:46" ht="18" customHeight="1" thickBot="1">
      <c r="A19" s="72">
        <v>12</v>
      </c>
      <c r="B19" s="202" t="str">
        <f>IF(ISTEXT('Vanpool Roster'!E19),'Vanpool Roster'!E19," ")</f>
        <v> 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81">
        <f t="shared" si="0"/>
        <v>0</v>
      </c>
      <c r="AI19" s="81">
        <f t="shared" si="1"/>
        <v>0</v>
      </c>
      <c r="AJ19" s="249">
        <f t="shared" si="2"/>
        <v>0</v>
      </c>
      <c r="AL19" s="452"/>
      <c r="AM19" s="454"/>
      <c r="AN19" s="452"/>
      <c r="AQ19" s="112" t="b">
        <f>ISTEXT('Vanpool Roster'!E16)</f>
        <v>0</v>
      </c>
      <c r="AR19" s="254" t="s">
        <v>90</v>
      </c>
      <c r="AS19" s="570"/>
      <c r="AT19" s="572"/>
    </row>
    <row r="20" spans="1:46" ht="18" customHeight="1" thickTop="1">
      <c r="A20" s="72">
        <v>13</v>
      </c>
      <c r="B20" s="202" t="str">
        <f>IF(ISTEXT('Vanpool Roster'!E20),'Vanpool Roster'!E20," ")</f>
        <v> 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81">
        <f t="shared" si="0"/>
        <v>0</v>
      </c>
      <c r="AI20" s="81">
        <f t="shared" si="1"/>
        <v>0</v>
      </c>
      <c r="AJ20" s="249">
        <f t="shared" si="2"/>
        <v>0</v>
      </c>
      <c r="AL20" s="452"/>
      <c r="AM20" s="454"/>
      <c r="AN20" s="452"/>
      <c r="AQ20" s="112" t="b">
        <f>ISTEXT('Vanpool Roster'!E17)</f>
        <v>0</v>
      </c>
      <c r="AR20" s="254" t="s">
        <v>77</v>
      </c>
      <c r="AS20" s="338" t="s">
        <v>195</v>
      </c>
      <c r="AT20" s="337">
        <v>17</v>
      </c>
    </row>
    <row r="21" spans="1:46" ht="18" customHeight="1">
      <c r="A21" s="72">
        <v>14</v>
      </c>
      <c r="B21" s="202" t="str">
        <f>IF(ISTEXT('Vanpool Roster'!E21),'Vanpool Roster'!E21," ")</f>
        <v> </v>
      </c>
      <c r="C21" s="137"/>
      <c r="D21" s="137"/>
      <c r="E21" s="136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81">
        <f t="shared" si="0"/>
        <v>0</v>
      </c>
      <c r="AI21" s="81">
        <f t="shared" si="1"/>
        <v>0</v>
      </c>
      <c r="AJ21" s="249">
        <f t="shared" si="2"/>
        <v>0</v>
      </c>
      <c r="AL21" s="452"/>
      <c r="AM21" s="454"/>
      <c r="AN21" s="452"/>
      <c r="AQ21" s="112" t="b">
        <f>ISTEXT('Vanpool Roster'!E18)</f>
        <v>0</v>
      </c>
      <c r="AR21" s="254" t="s">
        <v>78</v>
      </c>
      <c r="AS21" s="339" t="s">
        <v>197</v>
      </c>
      <c r="AT21" s="336">
        <v>20</v>
      </c>
    </row>
    <row r="22" spans="1:46" ht="18" customHeight="1" thickBot="1">
      <c r="A22" s="166">
        <v>15</v>
      </c>
      <c r="B22" s="202" t="str">
        <f>IF(ISTEXT('Vanpool Roster'!E22),'Vanpool Roster'!E22," ")</f>
        <v> </v>
      </c>
      <c r="C22" s="138"/>
      <c r="D22" s="138"/>
      <c r="E22" s="171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81">
        <f t="shared" si="0"/>
        <v>0</v>
      </c>
      <c r="AI22" s="81">
        <f t="shared" si="1"/>
        <v>0</v>
      </c>
      <c r="AJ22" s="249">
        <f t="shared" si="2"/>
        <v>0</v>
      </c>
      <c r="AK22" s="46"/>
      <c r="AL22" s="455"/>
      <c r="AM22" s="456"/>
      <c r="AN22" s="457"/>
      <c r="AQ22" s="112" t="b">
        <f>ISTEXT('Vanpool Roster'!E19)</f>
        <v>0</v>
      </c>
      <c r="AS22" s="339" t="s">
        <v>198</v>
      </c>
      <c r="AT22" s="336">
        <v>25</v>
      </c>
    </row>
    <row r="23" spans="1:46" ht="13.5" thickTop="1">
      <c r="A23" s="601" t="s">
        <v>160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4"/>
      <c r="P23" s="204"/>
      <c r="Q23" s="204"/>
      <c r="R23" s="204"/>
      <c r="Z23" s="593" t="s">
        <v>189</v>
      </c>
      <c r="AA23" s="593"/>
      <c r="AB23" s="593"/>
      <c r="AC23" s="593"/>
      <c r="AD23" s="593"/>
      <c r="AE23" s="593"/>
      <c r="AF23" s="593"/>
      <c r="AG23" s="593"/>
      <c r="AH23" s="81">
        <f>SUM(AH8:AH22)</f>
        <v>0</v>
      </c>
      <c r="AI23" s="81">
        <f>SUM(AI8:AI22)</f>
        <v>0</v>
      </c>
      <c r="AJ23" s="170"/>
      <c r="AL23" s="4"/>
      <c r="AM23" s="4"/>
      <c r="AN23" s="4"/>
      <c r="AQ23" s="112" t="b">
        <f>ISTEXT('Vanpool Roster'!E20)</f>
        <v>0</v>
      </c>
      <c r="AS23" s="339" t="s">
        <v>199</v>
      </c>
      <c r="AT23" s="336">
        <v>30</v>
      </c>
    </row>
    <row r="24" spans="1:46" ht="15.75" customHeight="1" thickBot="1">
      <c r="A24" s="601"/>
      <c r="B24" s="581" t="s">
        <v>165</v>
      </c>
      <c r="C24" s="582"/>
      <c r="D24" s="582"/>
      <c r="E24" s="582"/>
      <c r="F24" s="582"/>
      <c r="G24" s="582"/>
      <c r="H24" s="582"/>
      <c r="I24" s="582"/>
      <c r="J24" s="582"/>
      <c r="K24" s="582"/>
      <c r="L24" s="582"/>
      <c r="M24" s="582"/>
      <c r="N24" s="582"/>
      <c r="O24" s="582"/>
      <c r="P24" s="582"/>
      <c r="Q24" s="597" t="str">
        <f>'Daily Mileage Log'!C3</f>
        <v>December, 2013</v>
      </c>
      <c r="R24" s="597"/>
      <c r="S24" s="597"/>
      <c r="T24" s="597"/>
      <c r="U24" s="597"/>
      <c r="V24" s="597"/>
      <c r="AI24" s="4"/>
      <c r="AJ24" s="4"/>
      <c r="AL24" s="594" t="s">
        <v>237</v>
      </c>
      <c r="AM24" s="603" t="s">
        <v>125</v>
      </c>
      <c r="AN24" s="603" t="s">
        <v>124</v>
      </c>
      <c r="AQ24" s="112" t="b">
        <f>ISTEXT('Vanpool Roster'!E21)</f>
        <v>0</v>
      </c>
      <c r="AS24" s="340" t="s">
        <v>200</v>
      </c>
      <c r="AT24" s="341">
        <v>19</v>
      </c>
    </row>
    <row r="25" spans="1:46" ht="12.75" customHeight="1" thickBot="1">
      <c r="A25" s="601"/>
      <c r="B25" s="581"/>
      <c r="C25" s="582"/>
      <c r="D25" s="582"/>
      <c r="E25" s="582"/>
      <c r="F25" s="582"/>
      <c r="G25" s="582"/>
      <c r="H25" s="582"/>
      <c r="I25" s="582"/>
      <c r="J25" s="582"/>
      <c r="K25" s="582"/>
      <c r="L25" s="582"/>
      <c r="M25" s="582"/>
      <c r="N25" s="582"/>
      <c r="O25" s="582"/>
      <c r="P25" s="582"/>
      <c r="Q25" s="597"/>
      <c r="R25" s="597"/>
      <c r="S25" s="597"/>
      <c r="T25" s="597"/>
      <c r="U25" s="597"/>
      <c r="V25" s="597"/>
      <c r="AI25" s="4"/>
      <c r="AJ25" s="4"/>
      <c r="AL25" s="595"/>
      <c r="AM25" s="595"/>
      <c r="AN25" s="595"/>
      <c r="AQ25" s="112" t="b">
        <f>ISTEXT('Vanpool Roster'!E22)</f>
        <v>0</v>
      </c>
      <c r="AS25" s="342" t="s">
        <v>232</v>
      </c>
      <c r="AT25" s="343">
        <f>VLOOKUP('Vanpool Report'!Q8,'Ridership Report'!AS20:AT24,2,0)</f>
        <v>20</v>
      </c>
    </row>
    <row r="26" spans="1:46" ht="12.75" customHeight="1" thickBot="1">
      <c r="A26" s="602"/>
      <c r="B26" s="205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162"/>
      <c r="AL26" s="596"/>
      <c r="AM26" s="604"/>
      <c r="AN26" s="604"/>
      <c r="AO26" s="64" t="s">
        <v>180</v>
      </c>
      <c r="AQ26" s="53"/>
      <c r="AS26" s="329"/>
      <c r="AT26" s="329"/>
    </row>
    <row r="27" spans="1:46" ht="18" customHeight="1" thickBot="1" thickTop="1">
      <c r="A27" s="210"/>
      <c r="B27" s="351">
        <f>'Vanpool Roster'!E25</f>
        <v>0</v>
      </c>
      <c r="C27" s="139"/>
      <c r="D27" s="139"/>
      <c r="E27" s="140"/>
      <c r="F27" s="139"/>
      <c r="G27" s="139"/>
      <c r="H27" s="139"/>
      <c r="I27" s="139"/>
      <c r="J27" s="140"/>
      <c r="K27" s="140"/>
      <c r="L27" s="140"/>
      <c r="M27" s="140"/>
      <c r="N27" s="140"/>
      <c r="O27" s="139"/>
      <c r="P27" s="139"/>
      <c r="Q27" s="140"/>
      <c r="R27" s="140"/>
      <c r="S27" s="140"/>
      <c r="T27" s="140"/>
      <c r="U27" s="140"/>
      <c r="V27" s="139"/>
      <c r="W27" s="139"/>
      <c r="X27" s="140"/>
      <c r="Y27" s="140"/>
      <c r="Z27" s="140"/>
      <c r="AA27" s="140"/>
      <c r="AB27" s="140"/>
      <c r="AC27" s="139"/>
      <c r="AD27" s="139"/>
      <c r="AE27" s="139"/>
      <c r="AF27" s="139"/>
      <c r="AG27" s="140"/>
      <c r="AH27" s="81">
        <f>COUNTIF(C27:AG27,"X")+COUNTIF(C27:AG27,"#")+COUNTIF(C27:AG27,"+")+COUNTIF(C27:AG27,"L")+COUNTIF(C27:AG27,"N")</f>
        <v>0</v>
      </c>
      <c r="AI27" s="81">
        <f>COUNTIF(C27:AG27,"\")+COUNTIF(C27:AG27,"-")</f>
        <v>0</v>
      </c>
      <c r="AJ27" s="249">
        <f>COUNTIF(C27:AG27,"+")+(COUNTIF(C27:AG27,"-")/2)+(COUNTIF(C27:AG27,"#")/2)</f>
        <v>0</v>
      </c>
      <c r="AL27" s="69">
        <f>SUM(AH27:AI27)*(8+IF('Vanpool Report'!$Q$9&gt;'Ridership Report'!$AS$31,4,IF('Vanpool Report'!$Q$9&gt;'Ridership Report'!$AS$30,2,0)))</f>
        <v>0</v>
      </c>
      <c r="AM27" s="208" t="str">
        <f>IF(A27="N",AO37,IF(AL27&gt;0,IF(AL27&gt;AN27,AO36,AO35)," "))</f>
        <v> </v>
      </c>
      <c r="AN27" s="348">
        <f>IF(A27="N",'Vanpool Report'!C20/20*AO27,IF(AL27&gt;'Vanpool Report'!C20,'Vanpool Report'!C20,AL27))</f>
        <v>0</v>
      </c>
      <c r="AO27" s="193">
        <f>COUNTA(C27:AG27)</f>
        <v>0</v>
      </c>
      <c r="AP27" s="188" t="s">
        <v>166</v>
      </c>
      <c r="AQ27" s="175"/>
      <c r="AS27" s="331" t="s">
        <v>233</v>
      </c>
      <c r="AT27" s="329"/>
    </row>
    <row r="28" spans="1:46" ht="18" customHeight="1" thickBot="1" thickTop="1">
      <c r="A28" s="210"/>
      <c r="B28" s="351">
        <f>'Vanpool Roster'!E26</f>
        <v>0</v>
      </c>
      <c r="C28" s="137"/>
      <c r="D28" s="136"/>
      <c r="E28" s="136"/>
      <c r="F28" s="137"/>
      <c r="G28" s="136"/>
      <c r="H28" s="137"/>
      <c r="I28" s="137"/>
      <c r="J28" s="136"/>
      <c r="K28" s="136"/>
      <c r="L28" s="137"/>
      <c r="M28" s="137"/>
      <c r="N28" s="136"/>
      <c r="O28" s="136"/>
      <c r="P28" s="137"/>
      <c r="Q28" s="136"/>
      <c r="R28" s="136"/>
      <c r="S28" s="136"/>
      <c r="T28" s="136"/>
      <c r="U28" s="136"/>
      <c r="V28" s="137"/>
      <c r="W28" s="137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81">
        <f aca="true" t="shared" si="3" ref="AH28:AH33">COUNTIF(C28:AG28,"X")+COUNTIF(C28:AG28,"#")+COUNTIF(C28:AG28,"+")+COUNTIF(C28:AG28,"L")+COUNTIF(C28:AG28,"N")</f>
        <v>0</v>
      </c>
      <c r="AI28" s="81">
        <f aca="true" t="shared" si="4" ref="AI28:AI33">COUNTIF(C28:AG28,"\")+COUNTIF(C28:AG28,"-")</f>
        <v>0</v>
      </c>
      <c r="AJ28" s="249">
        <f aca="true" t="shared" si="5" ref="AJ28:AJ33">COUNTIF(C28:AG28,"+")+(COUNTIF(C28:AG28,"-")/2)+(COUNTIF(C28:AG28,"#")/2)</f>
        <v>0</v>
      </c>
      <c r="AL28" s="69">
        <f>SUM(AH28:AI28)*(8+IF('Vanpool Report'!$Q$9&gt;'Ridership Report'!$AS$31,4,IF('Vanpool Report'!$Q$9&gt;'Ridership Report'!$AS$30,2,0)))</f>
        <v>0</v>
      </c>
      <c r="AM28" s="208" t="str">
        <f>IF(A28="N",AO37,IF(AL28&gt;0,IF(AL28&gt;AN28,AO36,AO35)," "))</f>
        <v> </v>
      </c>
      <c r="AN28" s="348">
        <f>IF(A28="N",'Vanpool Report'!C20/20*AO28,IF(AL28&gt;'Vanpool Report'!C20,'Vanpool Report'!C20,AL28))</f>
        <v>0</v>
      </c>
      <c r="AO28" s="46">
        <f aca="true" t="shared" si="6" ref="AO28:AO33">COUNTA(C28:AG28)</f>
        <v>0</v>
      </c>
      <c r="AP28" s="54" t="s">
        <v>159</v>
      </c>
      <c r="AQ28" s="176" t="s">
        <v>167</v>
      </c>
      <c r="AS28" s="333" t="s">
        <v>234</v>
      </c>
      <c r="AT28" s="334" t="s">
        <v>235</v>
      </c>
    </row>
    <row r="29" spans="1:46" ht="18" customHeight="1" thickBot="1" thickTop="1">
      <c r="A29" s="210"/>
      <c r="B29" s="351">
        <f>'Vanpool Roster'!E27</f>
        <v>0</v>
      </c>
      <c r="C29" s="137"/>
      <c r="D29" s="137"/>
      <c r="E29" s="136"/>
      <c r="F29" s="136"/>
      <c r="G29" s="136"/>
      <c r="H29" s="137"/>
      <c r="I29" s="137"/>
      <c r="J29" s="136"/>
      <c r="K29" s="136"/>
      <c r="L29" s="136"/>
      <c r="M29" s="136"/>
      <c r="N29" s="136"/>
      <c r="O29" s="137"/>
      <c r="P29" s="137"/>
      <c r="Q29" s="136"/>
      <c r="R29" s="136"/>
      <c r="S29" s="136"/>
      <c r="T29" s="136"/>
      <c r="U29" s="136"/>
      <c r="V29" s="137"/>
      <c r="W29" s="137"/>
      <c r="X29" s="136"/>
      <c r="Y29" s="136"/>
      <c r="Z29" s="136"/>
      <c r="AA29" s="136"/>
      <c r="AB29" s="136"/>
      <c r="AC29" s="137"/>
      <c r="AD29" s="137"/>
      <c r="AE29" s="136"/>
      <c r="AF29" s="136"/>
      <c r="AG29" s="136"/>
      <c r="AH29" s="81">
        <f t="shared" si="3"/>
        <v>0</v>
      </c>
      <c r="AI29" s="81">
        <f t="shared" si="4"/>
        <v>0</v>
      </c>
      <c r="AJ29" s="249">
        <f t="shared" si="5"/>
        <v>0</v>
      </c>
      <c r="AL29" s="69">
        <f>SUM(AH29:AI29)*(8+IF('Vanpool Report'!$Q$9&gt;'Ridership Report'!$AS$31,4,IF('Vanpool Report'!$Q$9&gt;'Ridership Report'!$AS$30,2,0)))</f>
        <v>0</v>
      </c>
      <c r="AM29" s="208" t="str">
        <f>IF(A29="N",AO37,IF(AL29&gt;0,IF(AL29&gt;AN29,AO36,AO35)," "))</f>
        <v> </v>
      </c>
      <c r="AN29" s="348">
        <f>IF(A29="N",'Vanpool Report'!C20/20*AO29,IF(AL29&gt;'Vanpool Report'!C20,'Vanpool Report'!C20,AL29))</f>
        <v>0</v>
      </c>
      <c r="AO29" s="46">
        <f t="shared" si="6"/>
        <v>0</v>
      </c>
      <c r="AP29" s="168" t="s">
        <v>79</v>
      </c>
      <c r="AQ29" s="177" t="s">
        <v>154</v>
      </c>
      <c r="AR29" s="54"/>
      <c r="AS29" s="344">
        <v>0</v>
      </c>
      <c r="AT29" s="332">
        <v>8</v>
      </c>
    </row>
    <row r="30" spans="1:46" ht="18" customHeight="1" thickBot="1" thickTop="1">
      <c r="A30" s="210"/>
      <c r="B30" s="351">
        <f>'Vanpool Roster'!E28</f>
        <v>0</v>
      </c>
      <c r="C30" s="137"/>
      <c r="D30" s="136"/>
      <c r="E30" s="136"/>
      <c r="F30" s="136"/>
      <c r="G30" s="136"/>
      <c r="H30" s="136"/>
      <c r="I30" s="137"/>
      <c r="J30" s="136"/>
      <c r="K30" s="136"/>
      <c r="L30" s="136"/>
      <c r="M30" s="136"/>
      <c r="N30" s="136"/>
      <c r="O30" s="137"/>
      <c r="P30" s="137"/>
      <c r="Q30" s="136"/>
      <c r="R30" s="136"/>
      <c r="S30" s="136"/>
      <c r="T30" s="136"/>
      <c r="U30" s="136"/>
      <c r="V30" s="137"/>
      <c r="W30" s="137"/>
      <c r="X30" s="136"/>
      <c r="Y30" s="136"/>
      <c r="Z30" s="136"/>
      <c r="AA30" s="136"/>
      <c r="AB30" s="136"/>
      <c r="AC30" s="137"/>
      <c r="AD30" s="137"/>
      <c r="AE30" s="136"/>
      <c r="AF30" s="136"/>
      <c r="AG30" s="136"/>
      <c r="AH30" s="81">
        <f t="shared" si="3"/>
        <v>0</v>
      </c>
      <c r="AI30" s="81">
        <f t="shared" si="4"/>
        <v>0</v>
      </c>
      <c r="AJ30" s="249">
        <f t="shared" si="5"/>
        <v>0</v>
      </c>
      <c r="AL30" s="69">
        <f>SUM(AH30:AI30)*(8+IF('Vanpool Report'!$Q$9&gt;'Ridership Report'!$AS$31,4,IF('Vanpool Report'!$Q$9&gt;'Ridership Report'!$AS$30,2,0)))</f>
        <v>0</v>
      </c>
      <c r="AM30" s="208" t="str">
        <f>IF(A30="N",AO37,IF(AL30&gt;0,IF(AL30&gt;AN30,AO36,AO35)," "))</f>
        <v> </v>
      </c>
      <c r="AN30" s="348">
        <f>IF(A30="N",'Vanpool Report'!C20/20*AO30,IF(AL30&gt;'Vanpool Report'!C20,'Vanpool Report'!C20,AL30))</f>
        <v>0</v>
      </c>
      <c r="AO30" s="46">
        <f t="shared" si="6"/>
        <v>0</v>
      </c>
      <c r="AP30" s="54"/>
      <c r="AQ30" s="32"/>
      <c r="AS30" s="330">
        <v>56</v>
      </c>
      <c r="AT30" s="332">
        <v>10</v>
      </c>
    </row>
    <row r="31" spans="1:46" s="54" customFormat="1" ht="18" customHeight="1" thickBot="1" thickTop="1">
      <c r="A31" s="210"/>
      <c r="B31" s="351">
        <f>'Vanpool Roster'!E29</f>
        <v>0</v>
      </c>
      <c r="C31" s="136"/>
      <c r="D31" s="136"/>
      <c r="E31" s="136"/>
      <c r="F31" s="136"/>
      <c r="G31" s="136"/>
      <c r="H31" s="137"/>
      <c r="I31" s="137"/>
      <c r="J31" s="137"/>
      <c r="K31" s="136"/>
      <c r="L31" s="136"/>
      <c r="M31" s="136"/>
      <c r="N31" s="137"/>
      <c r="O31" s="137"/>
      <c r="P31" s="137"/>
      <c r="Q31" s="137"/>
      <c r="R31" s="137"/>
      <c r="S31" s="137"/>
      <c r="T31" s="137"/>
      <c r="U31" s="136"/>
      <c r="V31" s="137"/>
      <c r="W31" s="137"/>
      <c r="X31" s="136"/>
      <c r="Y31" s="136"/>
      <c r="Z31" s="136"/>
      <c r="AA31" s="136"/>
      <c r="AB31" s="136"/>
      <c r="AC31" s="137"/>
      <c r="AD31" s="137"/>
      <c r="AE31" s="137"/>
      <c r="AF31" s="137"/>
      <c r="AG31" s="137"/>
      <c r="AH31" s="81">
        <f t="shared" si="3"/>
        <v>0</v>
      </c>
      <c r="AI31" s="81">
        <f t="shared" si="4"/>
        <v>0</v>
      </c>
      <c r="AJ31" s="249">
        <f t="shared" si="5"/>
        <v>0</v>
      </c>
      <c r="AK31" s="4"/>
      <c r="AL31" s="69">
        <f>SUM(AH31:AI31)*(8+IF('Vanpool Report'!$Q$9&gt;'Ridership Report'!$AS$31,4,IF('Vanpool Report'!$Q$9&gt;'Ridership Report'!$AS$30,2,0)))</f>
        <v>0</v>
      </c>
      <c r="AM31" s="208" t="str">
        <f>IF(A31="N",AO37,IF(AL31&gt;0,IF(AL31&gt;AN31,AO36,AO35)," "))</f>
        <v> </v>
      </c>
      <c r="AN31" s="348">
        <f>IF(A31="N",'Vanpool Report'!C20/20*AO31,IF(AL31&gt;'Vanpool Report'!C20,'Vanpool Report'!C20,AL31))</f>
        <v>0</v>
      </c>
      <c r="AO31" s="46">
        <f t="shared" si="6"/>
        <v>0</v>
      </c>
      <c r="AQ31" s="31"/>
      <c r="AR31" s="32"/>
      <c r="AS31" s="330">
        <v>96</v>
      </c>
      <c r="AT31" s="332">
        <v>12</v>
      </c>
    </row>
    <row r="32" spans="1:46" ht="18" customHeight="1" thickBot="1" thickTop="1">
      <c r="A32" s="210"/>
      <c r="B32" s="328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6"/>
      <c r="AF32" s="137"/>
      <c r="AG32" s="137"/>
      <c r="AH32" s="81">
        <f t="shared" si="3"/>
        <v>0</v>
      </c>
      <c r="AI32" s="81">
        <f t="shared" si="4"/>
        <v>0</v>
      </c>
      <c r="AJ32" s="249">
        <f t="shared" si="5"/>
        <v>0</v>
      </c>
      <c r="AK32" s="46"/>
      <c r="AL32" s="69">
        <f>SUM(AH32:AI32)*(8+IF('Vanpool Report'!$Q$9&gt;'Ridership Report'!$AS$31,4,IF('Vanpool Report'!$Q$9&gt;'Ridership Report'!$AS$30,2,0)))</f>
        <v>0</v>
      </c>
      <c r="AM32" s="208" t="str">
        <f>IF(A32="N",AO37,IF(AL32&gt;0,IF(AL32&gt;AN32,AO36,AO35)," "))</f>
        <v> </v>
      </c>
      <c r="AN32" s="348">
        <f>IF(A32="N",'Vanpool Report'!C20/20*AO32,IF(AL32&gt;'Vanpool Report'!C20,'Vanpool Report'!C20,AL32))</f>
        <v>0</v>
      </c>
      <c r="AO32" s="46">
        <f t="shared" si="6"/>
        <v>0</v>
      </c>
      <c r="AP32" s="54"/>
      <c r="AQ32" s="32"/>
      <c r="AS32" s="329"/>
      <c r="AT32" s="329"/>
    </row>
    <row r="33" spans="1:46" ht="18" customHeight="1" thickBot="1" thickTop="1">
      <c r="A33" s="210"/>
      <c r="B33" s="327"/>
      <c r="C33" s="138"/>
      <c r="D33" s="138"/>
      <c r="E33" s="138"/>
      <c r="F33" s="138"/>
      <c r="G33" s="138"/>
      <c r="H33" s="138"/>
      <c r="I33" s="138"/>
      <c r="J33" s="171"/>
      <c r="K33" s="171"/>
      <c r="L33" s="171"/>
      <c r="M33" s="171"/>
      <c r="N33" s="171"/>
      <c r="O33" s="138"/>
      <c r="P33" s="138"/>
      <c r="Q33" s="171"/>
      <c r="R33" s="171"/>
      <c r="S33" s="171"/>
      <c r="T33" s="171"/>
      <c r="U33" s="171"/>
      <c r="V33" s="138"/>
      <c r="W33" s="138"/>
      <c r="X33" s="171"/>
      <c r="Y33" s="171"/>
      <c r="Z33" s="171"/>
      <c r="AA33" s="171"/>
      <c r="AB33" s="171"/>
      <c r="AC33" s="138"/>
      <c r="AD33" s="138"/>
      <c r="AE33" s="138"/>
      <c r="AF33" s="138"/>
      <c r="AG33" s="171"/>
      <c r="AH33" s="81">
        <f t="shared" si="3"/>
        <v>0</v>
      </c>
      <c r="AI33" s="81">
        <f t="shared" si="4"/>
        <v>0</v>
      </c>
      <c r="AJ33" s="249">
        <f t="shared" si="5"/>
        <v>0</v>
      </c>
      <c r="AK33" s="54"/>
      <c r="AL33" s="69">
        <f>SUM(AH33:AI33)*(8+IF('Vanpool Report'!$Q$9&gt;'Ridership Report'!$AS$31,4,IF('Vanpool Report'!$Q$9&gt;'Ridership Report'!$AS$30,2,0)))</f>
        <v>0</v>
      </c>
      <c r="AM33" s="209" t="str">
        <f>IF(A33="N",AO37,IF(AL33&gt;0,IF(AL33&gt;AN33,AO36,AO35)," "))</f>
        <v> </v>
      </c>
      <c r="AN33" s="349">
        <f>IF(A33="N",'Vanpool Report'!C20/20*AO33,IF(AL33&gt;'Vanpool Report'!C20,'Vanpool Report'!C20,AL33))</f>
        <v>0</v>
      </c>
      <c r="AO33" s="192">
        <f t="shared" si="6"/>
        <v>0</v>
      </c>
      <c r="AP33" s="54"/>
      <c r="AQ33" s="32"/>
      <c r="AS33" s="568" t="s">
        <v>236</v>
      </c>
      <c r="AT33" s="568"/>
    </row>
    <row r="34" spans="2:46" ht="15.75" customHeight="1" thickBot="1" thickTop="1">
      <c r="B34" s="57"/>
      <c r="W34" s="593" t="s">
        <v>188</v>
      </c>
      <c r="X34" s="593"/>
      <c r="Y34" s="593"/>
      <c r="Z34" s="593"/>
      <c r="AA34" s="593"/>
      <c r="AB34" s="593"/>
      <c r="AC34" s="593"/>
      <c r="AD34" s="593"/>
      <c r="AE34" s="593"/>
      <c r="AF34" s="593"/>
      <c r="AG34" s="593"/>
      <c r="AH34" s="81">
        <f>SUM(AH27:AH33)</f>
        <v>0</v>
      </c>
      <c r="AI34" s="81">
        <f>SUM(AI27:AI33)</f>
        <v>0</v>
      </c>
      <c r="AJ34" s="170"/>
      <c r="AK34" s="31"/>
      <c r="AL34" s="172"/>
      <c r="AM34" s="172"/>
      <c r="AN34" s="263">
        <f>SUM(AN27:AN33)</f>
        <v>0</v>
      </c>
      <c r="AO34" s="188" t="s">
        <v>168</v>
      </c>
      <c r="AP34" s="160"/>
      <c r="AQ34" s="32"/>
      <c r="AS34" s="335">
        <v>0</v>
      </c>
      <c r="AT34" s="332">
        <v>8</v>
      </c>
    </row>
    <row r="35" spans="1:43" ht="15.75" customHeight="1" thickTop="1">
      <c r="A35" s="258"/>
      <c r="AG35" s="54"/>
      <c r="AH35" s="54"/>
      <c r="AI35" s="55"/>
      <c r="AJ35" s="55"/>
      <c r="AK35" s="54"/>
      <c r="AL35" s="55"/>
      <c r="AM35" s="55"/>
      <c r="AN35" s="55"/>
      <c r="AO35" s="161" t="s">
        <v>161</v>
      </c>
      <c r="AP35" s="162"/>
      <c r="AQ35" s="32"/>
    </row>
    <row r="36" spans="1:43" ht="12.75">
      <c r="A36" s="258"/>
      <c r="K36" s="45"/>
      <c r="L36" s="45"/>
      <c r="N36" s="45"/>
      <c r="O36" s="45"/>
      <c r="P36" s="45"/>
      <c r="Q36" s="54"/>
      <c r="T36" s="32"/>
      <c r="W36" s="54"/>
      <c r="X36" s="54"/>
      <c r="Y36" s="54"/>
      <c r="AH36" s="146"/>
      <c r="AJ36" s="55"/>
      <c r="AK36" s="54"/>
      <c r="AL36" s="54"/>
      <c r="AM36" s="54"/>
      <c r="AN36" s="54"/>
      <c r="AO36" s="161" t="s">
        <v>162</v>
      </c>
      <c r="AP36" s="162"/>
      <c r="AQ36" s="32"/>
    </row>
    <row r="37" spans="1:43" ht="15.75">
      <c r="A37" s="258"/>
      <c r="B37" s="45"/>
      <c r="D37" s="45"/>
      <c r="E37" s="45"/>
      <c r="F37" s="45"/>
      <c r="J37" s="32"/>
      <c r="W37" s="31"/>
      <c r="X37" s="31"/>
      <c r="Y37" s="54"/>
      <c r="AD37" s="56" t="s">
        <v>52</v>
      </c>
      <c r="AL37" s="49"/>
      <c r="AO37" s="163" t="s">
        <v>163</v>
      </c>
      <c r="AP37" s="167"/>
      <c r="AQ37" s="32"/>
    </row>
    <row r="38" spans="1:43" ht="12.75">
      <c r="A38" s="258"/>
      <c r="B38" s="45"/>
      <c r="D38" s="45"/>
      <c r="E38" s="45"/>
      <c r="F38" s="45"/>
      <c r="J38" s="32"/>
      <c r="W38" s="54"/>
      <c r="X38" s="54"/>
      <c r="Y38" s="54"/>
      <c r="AD38" s="57" t="s">
        <v>58</v>
      </c>
      <c r="AP38" s="54"/>
      <c r="AQ38" s="32"/>
    </row>
    <row r="39" spans="1:44" ht="12.75">
      <c r="A39" s="258"/>
      <c r="K39" s="45"/>
      <c r="L39" s="45"/>
      <c r="N39" s="45"/>
      <c r="O39" s="45"/>
      <c r="P39" s="45"/>
      <c r="T39" s="32"/>
      <c r="AD39" s="57" t="s">
        <v>59</v>
      </c>
      <c r="AO39" s="32"/>
      <c r="AP39" s="54"/>
      <c r="AQ39" s="32"/>
      <c r="AR39" s="4"/>
    </row>
    <row r="40" spans="11:43" ht="12.75">
      <c r="K40" s="45"/>
      <c r="L40" s="45"/>
      <c r="N40" s="45"/>
      <c r="O40" s="45"/>
      <c r="P40" s="45"/>
      <c r="T40" s="32"/>
      <c r="AO40" s="54"/>
      <c r="AP40" s="31"/>
      <c r="AQ40" s="53"/>
    </row>
    <row r="41" spans="1:44" ht="12.75">
      <c r="A41" s="4"/>
      <c r="K41" s="45"/>
      <c r="L41" s="45"/>
      <c r="N41" s="45"/>
      <c r="O41" s="45"/>
      <c r="P41" s="45"/>
      <c r="T41" s="32"/>
      <c r="AI41" s="4"/>
      <c r="AJ41" s="4"/>
      <c r="AL41" s="4"/>
      <c r="AM41" s="4"/>
      <c r="AN41" s="4"/>
      <c r="AR41" s="4"/>
    </row>
    <row r="42" spans="1:44" ht="12.75">
      <c r="A42" s="4"/>
      <c r="K42" s="45"/>
      <c r="L42" s="45"/>
      <c r="N42" s="45"/>
      <c r="O42" s="45"/>
      <c r="P42" s="45"/>
      <c r="T42" s="32"/>
      <c r="AI42" s="4"/>
      <c r="AJ42" s="4"/>
      <c r="AL42" s="4"/>
      <c r="AM42" s="4"/>
      <c r="AN42" s="4"/>
      <c r="AR42" s="4"/>
    </row>
    <row r="43" spans="1:44" ht="12.75">
      <c r="A43" s="4"/>
      <c r="AI43" s="4"/>
      <c r="AJ43" s="4"/>
      <c r="AL43" s="4"/>
      <c r="AM43" s="4"/>
      <c r="AN43" s="4"/>
      <c r="AR43" s="4"/>
    </row>
    <row r="44" spans="1:44" ht="12.75">
      <c r="A44" s="4"/>
      <c r="AI44" s="4"/>
      <c r="AJ44" s="4"/>
      <c r="AL44" s="4"/>
      <c r="AM44" s="4"/>
      <c r="AN44" s="4"/>
      <c r="AR44" s="4"/>
    </row>
    <row r="45" spans="1:44" ht="12.75">
      <c r="A45" s="4"/>
      <c r="AI45" s="4"/>
      <c r="AJ45" s="4"/>
      <c r="AL45" s="4"/>
      <c r="AM45" s="4"/>
      <c r="AN45" s="4"/>
      <c r="AR45" s="4"/>
    </row>
    <row r="46" spans="1:44" ht="12.75">
      <c r="A46" s="4"/>
      <c r="AI46" s="4"/>
      <c r="AJ46" s="4"/>
      <c r="AL46" s="4"/>
      <c r="AM46" s="4"/>
      <c r="AN46" s="4"/>
      <c r="AR46" s="4"/>
    </row>
    <row r="47" spans="1:44" ht="12.75">
      <c r="A47" s="4"/>
      <c r="AI47" s="4"/>
      <c r="AJ47" s="4"/>
      <c r="AL47" s="4"/>
      <c r="AM47" s="4"/>
      <c r="AN47" s="4"/>
      <c r="AR47" s="4"/>
    </row>
  </sheetData>
  <sheetProtection password="E4A4" sheet="1" objects="1" scenarios="1" selectLockedCells="1"/>
  <mergeCells count="29">
    <mergeCell ref="W34:AG34"/>
    <mergeCell ref="AL24:AL26"/>
    <mergeCell ref="Q24:V25"/>
    <mergeCell ref="AM3:AM7"/>
    <mergeCell ref="AN3:AN7"/>
    <mergeCell ref="A23:A26"/>
    <mergeCell ref="Z23:AG23"/>
    <mergeCell ref="AN24:AN26"/>
    <mergeCell ref="AM24:AM26"/>
    <mergeCell ref="X5:AC6"/>
    <mergeCell ref="AD5:AE6"/>
    <mergeCell ref="B3:L4"/>
    <mergeCell ref="B5:C6"/>
    <mergeCell ref="B24:P25"/>
    <mergeCell ref="AQ6:AQ10"/>
    <mergeCell ref="AJ3:AJ7"/>
    <mergeCell ref="AL3:AL7"/>
    <mergeCell ref="AI3:AI7"/>
    <mergeCell ref="AO5:AP5"/>
    <mergeCell ref="O2:AE2"/>
    <mergeCell ref="U5:V6"/>
    <mergeCell ref="W3:AC4"/>
    <mergeCell ref="AD3:AE4"/>
    <mergeCell ref="M5:T6"/>
    <mergeCell ref="AS33:AT33"/>
    <mergeCell ref="AS18:AS19"/>
    <mergeCell ref="AT18:AT19"/>
    <mergeCell ref="M3:U4"/>
    <mergeCell ref="AH3:AH7"/>
  </mergeCells>
  <conditionalFormatting sqref="C27:AG33 C8:AG22">
    <cfRule type="expression" priority="15" dxfId="0" stopIfTrue="1">
      <formula>C$1=0</formula>
    </cfRule>
  </conditionalFormatting>
  <conditionalFormatting sqref="AL27:AN33">
    <cfRule type="expression" priority="14" dxfId="1" stopIfTrue="1">
      <formula>ISERROR($AN$34)</formula>
    </cfRule>
  </conditionalFormatting>
  <conditionalFormatting sqref="AN34">
    <cfRule type="expression" priority="13" dxfId="1" stopIfTrue="1">
      <formula>ISERROR($AN$34)</formula>
    </cfRule>
  </conditionalFormatting>
  <conditionalFormatting sqref="A27">
    <cfRule type="expression" priority="11" dxfId="7" stopIfTrue="1">
      <formula>AND(ISTEXT(B27),ISBLANK(A27))</formula>
    </cfRule>
  </conditionalFormatting>
  <conditionalFormatting sqref="A23:A26">
    <cfRule type="expression" priority="4" dxfId="8" stopIfTrue="1">
      <formula>AND(ISTEXT(B27),ISBLANK(A27))</formula>
    </cfRule>
  </conditionalFormatting>
  <conditionalFormatting sqref="A28:A33">
    <cfRule type="expression" priority="3" dxfId="7" stopIfTrue="1">
      <formula>AND(ISTEXT(B28),ISBLANK(A28))</formula>
    </cfRule>
  </conditionalFormatting>
  <dataValidations count="2">
    <dataValidation type="list" allowBlank="1" showInputMessage="1" showErrorMessage="1" sqref="A27:A33">
      <formula1>RiderType</formula1>
    </dataValidation>
    <dataValidation type="list" allowBlank="1" showDropDown="1" showErrorMessage="1" errorTitle="Invalid Entry!" error="Please Check the Key for Valid Entries!" sqref="C8:AG22 C27:AG33">
      <formula1>Key</formula1>
    </dataValidation>
  </dataValidations>
  <printOptions/>
  <pageMargins left="0.36" right="0.29" top="1" bottom="0.85" header="0.5" footer="0.5"/>
  <pageSetup fitToHeight="1" fitToWidth="1" horizontalDpi="600" verticalDpi="600" orientation="landscape" scale="78" r:id="rId2"/>
  <ignoredErrors>
    <ignoredError sqref="AM27:AM33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W55"/>
  <sheetViews>
    <sheetView showGridLines="0" zoomScalePageLayoutView="0" workbookViewId="0" topLeftCell="A1">
      <selection activeCell="C3" sqref="C3:G3"/>
    </sheetView>
  </sheetViews>
  <sheetFormatPr defaultColWidth="9.140625" defaultRowHeight="12.75"/>
  <cols>
    <col min="1" max="1" width="8.7109375" style="4" customWidth="1"/>
    <col min="2" max="2" width="17.00390625" style="4" customWidth="1"/>
    <col min="3" max="3" width="14.57421875" style="4" customWidth="1"/>
    <col min="4" max="4" width="3.7109375" style="4" customWidth="1"/>
    <col min="5" max="5" width="8.7109375" style="4" customWidth="1"/>
    <col min="6" max="6" width="4.8515625" style="4" customWidth="1"/>
    <col min="7" max="7" width="7.421875" style="4" customWidth="1"/>
    <col min="8" max="8" width="8.00390625" style="4" customWidth="1"/>
    <col min="9" max="9" width="9.140625" style="4" bestFit="1" customWidth="1"/>
    <col min="10" max="10" width="5.7109375" style="4" customWidth="1"/>
    <col min="11" max="12" width="3.7109375" style="4" customWidth="1"/>
    <col min="13" max="13" width="3.421875" style="4" customWidth="1"/>
    <col min="14" max="15" width="8.421875" style="4" customWidth="1"/>
    <col min="16" max="16" width="5.421875" style="4" customWidth="1"/>
    <col min="17" max="17" width="11.00390625" style="4" customWidth="1"/>
    <col min="18" max="18" width="8.8515625" style="4" customWidth="1"/>
    <col min="19" max="19" width="2.00390625" style="4" customWidth="1"/>
    <col min="20" max="20" width="9.140625" style="4" hidden="1" customWidth="1"/>
    <col min="21" max="21" width="10.57421875" style="4" hidden="1" customWidth="1"/>
    <col min="22" max="22" width="16.8515625" style="4" hidden="1" customWidth="1"/>
    <col min="23" max="23" width="5.00390625" style="4" hidden="1" customWidth="1"/>
    <col min="24" max="24" width="9.140625" style="4" hidden="1" customWidth="1"/>
    <col min="25" max="25" width="0" style="4" hidden="1" customWidth="1"/>
    <col min="26" max="16384" width="9.140625" style="4" customWidth="1"/>
  </cols>
  <sheetData>
    <row r="1" spans="2:19" ht="15.75" customHeight="1">
      <c r="B1" s="58"/>
      <c r="C1" s="58"/>
      <c r="D1" s="58"/>
      <c r="E1" s="58"/>
      <c r="F1" s="58"/>
      <c r="G1" s="73" t="s">
        <v>3</v>
      </c>
      <c r="H1" s="665">
        <f ca="1">IF(ISBLANK('Daily Mileage Log'!B11),DATEVALUE(MONTH(TODAY())&amp;"/1/"&amp;YEAR(TODAY())),DATEVALUE(IF(MONTH('Daily Mileage Log'!B11)=12,1,MONTH('Daily Mileage Log'!B11)+1)&amp;"/1/"&amp;IF(MONTH('Daily Mileage Log'!B11)=12,YEAR('Daily Mileage Log'!B11)+1,YEAR('Daily Mileage Log'!B11))))</f>
        <v>41640</v>
      </c>
      <c r="I1" s="665"/>
      <c r="J1" s="665"/>
      <c r="K1" s="665"/>
      <c r="N1" s="637" t="s">
        <v>122</v>
      </c>
      <c r="O1" s="637"/>
      <c r="P1" s="637"/>
      <c r="Q1" s="638"/>
      <c r="R1" s="631">
        <f>'Ridership Report'!AD3</f>
        <v>0</v>
      </c>
      <c r="S1" s="632"/>
    </row>
    <row r="2" spans="5:21" ht="12.75" customHeight="1">
      <c r="E2" s="59"/>
      <c r="F2" s="54"/>
      <c r="H2" s="50"/>
      <c r="I2" s="54"/>
      <c r="J2" s="54"/>
      <c r="K2" s="45"/>
      <c r="L2" s="45"/>
      <c r="M2" s="45"/>
      <c r="N2" s="37"/>
      <c r="O2" s="141"/>
      <c r="P2" s="153" t="s">
        <v>126</v>
      </c>
      <c r="Q2" s="142" t="str">
        <f>'Daily Mileage Log'!C3</f>
        <v>December, 2013</v>
      </c>
      <c r="R2" s="633"/>
      <c r="S2" s="634"/>
      <c r="T2" s="295">
        <f>R3</f>
        <v>0</v>
      </c>
      <c r="U2" s="193" t="s">
        <v>172</v>
      </c>
    </row>
    <row r="3" spans="2:21" ht="12.75">
      <c r="B3" s="74" t="s">
        <v>4</v>
      </c>
      <c r="C3" s="535"/>
      <c r="D3" s="536"/>
      <c r="E3" s="536"/>
      <c r="F3" s="536"/>
      <c r="G3" s="536"/>
      <c r="H3" s="50"/>
      <c r="I3" s="649">
        <f>'Daily Mileage Log'!E5</f>
        <v>0</v>
      </c>
      <c r="J3" s="650"/>
      <c r="K3" s="651"/>
      <c r="L3" s="55"/>
      <c r="M3" s="55"/>
      <c r="N3" s="639" t="s">
        <v>155</v>
      </c>
      <c r="O3" s="640"/>
      <c r="P3" s="640"/>
      <c r="Q3" s="169">
        <f>H1</f>
        <v>41640</v>
      </c>
      <c r="R3" s="635">
        <f>'Vanpool Roster'!S8</f>
        <v>0</v>
      </c>
      <c r="S3" s="636"/>
      <c r="T3" s="295">
        <f>R3-1</f>
        <v>-1</v>
      </c>
      <c r="U3" s="192" t="s">
        <v>223</v>
      </c>
    </row>
    <row r="4" spans="1:19" ht="3" customHeight="1">
      <c r="A4" s="45"/>
      <c r="B4" s="45"/>
      <c r="C4" s="74"/>
      <c r="D4" s="74"/>
      <c r="E4" s="74"/>
      <c r="F4" s="74"/>
      <c r="G4" s="74"/>
      <c r="H4" s="54"/>
      <c r="I4" s="652"/>
      <c r="J4" s="653"/>
      <c r="K4" s="654"/>
      <c r="L4" s="54"/>
      <c r="M4" s="54"/>
      <c r="N4" s="163"/>
      <c r="O4" s="168"/>
      <c r="P4" s="168"/>
      <c r="Q4" s="167"/>
      <c r="R4" s="151"/>
      <c r="S4" s="152"/>
    </row>
    <row r="5" spans="1:19" ht="12.75">
      <c r="A5" s="45"/>
      <c r="B5" s="150"/>
      <c r="C5" s="74"/>
      <c r="D5" s="74"/>
      <c r="E5" s="74"/>
      <c r="F5" s="74"/>
      <c r="G5" s="74"/>
      <c r="H5" s="54"/>
      <c r="I5" s="652"/>
      <c r="J5" s="653"/>
      <c r="K5" s="654"/>
      <c r="L5" s="54"/>
      <c r="M5" s="54"/>
      <c r="N5" s="54"/>
      <c r="O5" s="54"/>
      <c r="P5" s="54"/>
      <c r="Q5" s="54"/>
      <c r="R5" s="257"/>
      <c r="S5" s="257"/>
    </row>
    <row r="6" spans="1:18" ht="15.75" customHeight="1">
      <c r="A6" s="61"/>
      <c r="B6" s="74"/>
      <c r="C6" s="74"/>
      <c r="D6" s="74"/>
      <c r="E6" s="74"/>
      <c r="F6" s="74"/>
      <c r="G6" s="74"/>
      <c r="H6" s="435" t="s">
        <v>117</v>
      </c>
      <c r="I6" s="655"/>
      <c r="J6" s="656"/>
      <c r="K6" s="657"/>
      <c r="L6" s="55"/>
      <c r="M6" s="55"/>
      <c r="N6" s="278"/>
      <c r="O6" s="278"/>
      <c r="P6" s="278"/>
      <c r="Q6" s="281" t="s">
        <v>203</v>
      </c>
      <c r="R6" s="352">
        <v>12</v>
      </c>
    </row>
    <row r="7" spans="2:22" s="61" customFormat="1" ht="15.75" customHeight="1">
      <c r="B7" s="74" t="s">
        <v>110</v>
      </c>
      <c r="C7" s="143">
        <f>'Daily Mileage Log'!B11</f>
        <v>0</v>
      </c>
      <c r="D7" s="659"/>
      <c r="E7" s="659"/>
      <c r="F7" s="659"/>
      <c r="L7" s="54"/>
      <c r="M7" s="277" t="s">
        <v>45</v>
      </c>
      <c r="N7" s="278" t="s">
        <v>5</v>
      </c>
      <c r="O7" s="60"/>
      <c r="P7" s="4"/>
      <c r="Q7" s="4"/>
      <c r="R7" s="4"/>
      <c r="S7" s="4"/>
      <c r="T7" s="4"/>
      <c r="U7" s="4"/>
      <c r="V7" s="4"/>
    </row>
    <row r="8" spans="1:22" ht="15.75" thickBot="1">
      <c r="A8" s="52" t="s">
        <v>6</v>
      </c>
      <c r="B8" s="52" t="s">
        <v>7</v>
      </c>
      <c r="C8" s="52" t="s">
        <v>8</v>
      </c>
      <c r="D8" s="550" t="s">
        <v>9</v>
      </c>
      <c r="E8" s="658"/>
      <c r="F8" s="551"/>
      <c r="G8" s="550" t="s">
        <v>10</v>
      </c>
      <c r="H8" s="551"/>
      <c r="I8" s="550" t="s">
        <v>28</v>
      </c>
      <c r="J8" s="551"/>
      <c r="K8" s="55"/>
      <c r="L8" s="61"/>
      <c r="M8" s="61"/>
      <c r="N8" s="280" t="s">
        <v>201</v>
      </c>
      <c r="O8" s="279"/>
      <c r="P8" s="61"/>
      <c r="Q8" s="276" t="s">
        <v>197</v>
      </c>
      <c r="R8" s="61"/>
      <c r="S8" s="61"/>
      <c r="T8" s="61"/>
      <c r="U8" s="61"/>
      <c r="V8" s="61"/>
    </row>
    <row r="9" spans="1:19" ht="12.75" customHeight="1" thickBot="1">
      <c r="A9" s="180">
        <f>'Daily Mileage Log'!O39</f>
      </c>
      <c r="B9" s="181">
        <f>'Daily Mileage Log'!S39</f>
      </c>
      <c r="C9" s="181">
        <f>'Daily Mileage Log'!T39</f>
      </c>
      <c r="D9" s="607">
        <f>'Daily Mileage Log'!O16</f>
        <v>0</v>
      </c>
      <c r="E9" s="607"/>
      <c r="F9" s="607"/>
      <c r="G9" s="607">
        <f>'Daily Mileage Log'!P16</f>
        <v>0</v>
      </c>
      <c r="H9" s="607"/>
      <c r="I9" s="607">
        <f aca="true" t="shared" si="0" ref="I9:I16">VALUE(G9-D9)</f>
        <v>0</v>
      </c>
      <c r="J9" s="607"/>
      <c r="K9" s="62"/>
      <c r="N9" s="643" t="s">
        <v>121</v>
      </c>
      <c r="O9" s="643"/>
      <c r="P9" s="644"/>
      <c r="Q9" s="178">
        <f>W39</f>
        <v>0</v>
      </c>
      <c r="R9" s="623">
        <f>Q9*Q10</f>
        <v>0</v>
      </c>
      <c r="S9" s="624"/>
    </row>
    <row r="10" spans="1:19" ht="12.75" customHeight="1">
      <c r="A10" s="180">
        <f>'Daily Mileage Log'!O40</f>
      </c>
      <c r="B10" s="181">
        <f>'Daily Mileage Log'!S40</f>
      </c>
      <c r="C10" s="181">
        <f>'Daily Mileage Log'!T40</f>
      </c>
      <c r="D10" s="607">
        <f>'Daily Mileage Log'!O17</f>
        <v>0</v>
      </c>
      <c r="E10" s="607"/>
      <c r="F10" s="607"/>
      <c r="G10" s="607">
        <f>'Daily Mileage Log'!P17</f>
        <v>0</v>
      </c>
      <c r="H10" s="607"/>
      <c r="I10" s="607">
        <f t="shared" si="0"/>
        <v>0</v>
      </c>
      <c r="J10" s="607"/>
      <c r="K10" s="62"/>
      <c r="N10" s="643" t="s">
        <v>71</v>
      </c>
      <c r="O10" s="643"/>
      <c r="P10" s="644"/>
      <c r="Q10" s="179">
        <f>'Daily Mileage Log'!J47</f>
        <v>0</v>
      </c>
      <c r="R10" s="625"/>
      <c r="S10" s="626"/>
    </row>
    <row r="11" spans="1:19" ht="12.75" customHeight="1">
      <c r="A11" s="180">
        <f>'Daily Mileage Log'!O41</f>
      </c>
      <c r="B11" s="181">
        <f>'Daily Mileage Log'!S41</f>
      </c>
      <c r="C11" s="181">
        <f>'Daily Mileage Log'!T41</f>
      </c>
      <c r="D11" s="607">
        <f>'Daily Mileage Log'!O18</f>
        <v>0</v>
      </c>
      <c r="E11" s="607"/>
      <c r="F11" s="607"/>
      <c r="G11" s="607">
        <f>'Daily Mileage Log'!P18</f>
        <v>0</v>
      </c>
      <c r="H11" s="607"/>
      <c r="I11" s="607">
        <f t="shared" si="0"/>
        <v>0</v>
      </c>
      <c r="J11" s="607"/>
      <c r="K11" s="62"/>
      <c r="N11" s="78" t="s">
        <v>54</v>
      </c>
      <c r="O11" s="78"/>
      <c r="P11" s="77"/>
      <c r="Q11" s="77"/>
      <c r="R11" s="623">
        <f>IF(ISERROR(IF(W41&lt;1,"",W41)),0,IF(W41&lt;1,"",W41))</f>
      </c>
      <c r="S11" s="624"/>
    </row>
    <row r="12" spans="1:19" ht="12.75" customHeight="1">
      <c r="A12" s="180">
        <f>'Daily Mileage Log'!O42</f>
      </c>
      <c r="B12" s="181">
        <f>'Daily Mileage Log'!S42</f>
      </c>
      <c r="C12" s="181">
        <f>'Daily Mileage Log'!T42</f>
      </c>
      <c r="D12" s="607">
        <f>'Daily Mileage Log'!O19</f>
        <v>0</v>
      </c>
      <c r="E12" s="607"/>
      <c r="F12" s="607"/>
      <c r="G12" s="607">
        <f>'Daily Mileage Log'!P19</f>
        <v>0</v>
      </c>
      <c r="H12" s="607"/>
      <c r="I12" s="607">
        <f t="shared" si="0"/>
        <v>0</v>
      </c>
      <c r="J12" s="607"/>
      <c r="K12" s="62"/>
      <c r="N12" s="79"/>
      <c r="O12" s="641"/>
      <c r="P12" s="641"/>
      <c r="Q12" s="642"/>
      <c r="R12" s="625"/>
      <c r="S12" s="626"/>
    </row>
    <row r="13" spans="1:21" ht="12.75" customHeight="1">
      <c r="A13" s="180">
        <f>'Daily Mileage Log'!O43</f>
      </c>
      <c r="B13" s="181">
        <f>'Daily Mileage Log'!S43</f>
      </c>
      <c r="C13" s="181">
        <f>'Daily Mileage Log'!T43</f>
      </c>
      <c r="D13" s="607">
        <f>'Daily Mileage Log'!O20</f>
        <v>0</v>
      </c>
      <c r="E13" s="607"/>
      <c r="F13" s="607"/>
      <c r="G13" s="607">
        <f>'Daily Mileage Log'!P20</f>
        <v>0</v>
      </c>
      <c r="H13" s="607"/>
      <c r="I13" s="607">
        <f t="shared" si="0"/>
        <v>0</v>
      </c>
      <c r="J13" s="607"/>
      <c r="K13" s="62"/>
      <c r="N13" s="256" t="s">
        <v>187</v>
      </c>
      <c r="O13" s="256"/>
      <c r="P13" s="629" t="s">
        <v>204</v>
      </c>
      <c r="Q13" s="630"/>
      <c r="R13" s="623">
        <f>T13</f>
      </c>
      <c r="S13" s="624"/>
      <c r="T13" s="64">
        <f>IF(I17&lt;1,"",IF(P13="Base 50",50,(IF(P13="Full Van 100",100,0))))</f>
      </c>
      <c r="U13" s="64" t="s">
        <v>205</v>
      </c>
    </row>
    <row r="14" spans="1:19" ht="12.75" customHeight="1">
      <c r="A14" s="180">
        <f>'Daily Mileage Log'!O44</f>
      </c>
      <c r="B14" s="181">
        <f>'Daily Mileage Log'!S44</f>
      </c>
      <c r="C14" s="181">
        <f>'Daily Mileage Log'!T44</f>
      </c>
      <c r="D14" s="607">
        <f>'Daily Mileage Log'!O21</f>
        <v>0</v>
      </c>
      <c r="E14" s="607"/>
      <c r="F14" s="607"/>
      <c r="G14" s="607">
        <f>'Daily Mileage Log'!P21</f>
        <v>0</v>
      </c>
      <c r="H14" s="607"/>
      <c r="I14" s="607">
        <f t="shared" si="0"/>
        <v>0</v>
      </c>
      <c r="J14" s="607"/>
      <c r="K14" s="62"/>
      <c r="N14" s="259"/>
      <c r="O14" s="260"/>
      <c r="P14" s="261"/>
      <c r="Q14" s="262"/>
      <c r="R14" s="625"/>
      <c r="S14" s="626"/>
    </row>
    <row r="15" spans="1:19" ht="12.75" customHeight="1" thickBot="1">
      <c r="A15" s="180">
        <f>'Daily Mileage Log'!O45</f>
      </c>
      <c r="B15" s="181">
        <f>'Daily Mileage Log'!S45</f>
      </c>
      <c r="C15" s="181">
        <f>'Daily Mileage Log'!T45</f>
      </c>
      <c r="D15" s="607">
        <f>'Daily Mileage Log'!O22</f>
        <v>0</v>
      </c>
      <c r="E15" s="607"/>
      <c r="F15" s="607"/>
      <c r="G15" s="607">
        <f>'Daily Mileage Log'!P22</f>
        <v>0</v>
      </c>
      <c r="H15" s="607"/>
      <c r="I15" s="607">
        <f t="shared" si="0"/>
        <v>0</v>
      </c>
      <c r="J15" s="607"/>
      <c r="K15" s="54"/>
      <c r="N15" s="116" t="s">
        <v>115</v>
      </c>
      <c r="O15" s="117"/>
      <c r="P15" s="118"/>
      <c r="Q15" s="119"/>
      <c r="R15" s="623">
        <f>'Daily Mileage Log'!H47</f>
        <v>0</v>
      </c>
      <c r="S15" s="624"/>
    </row>
    <row r="16" spans="1:22" ht="12.75" customHeight="1" thickBot="1">
      <c r="A16" s="180">
        <f>'Daily Mileage Log'!O46</f>
      </c>
      <c r="B16" s="181">
        <f>'Daily Mileage Log'!S46</f>
      </c>
      <c r="C16" s="181">
        <f>'Daily Mileage Log'!T46</f>
      </c>
      <c r="D16" s="607">
        <f>'Daily Mileage Log'!O23</f>
        <v>0</v>
      </c>
      <c r="E16" s="607"/>
      <c r="F16" s="607"/>
      <c r="G16" s="607">
        <f>'Daily Mileage Log'!P23</f>
        <v>0</v>
      </c>
      <c r="H16" s="607"/>
      <c r="I16" s="607">
        <f t="shared" si="0"/>
        <v>0</v>
      </c>
      <c r="J16" s="607"/>
      <c r="K16" s="54"/>
      <c r="N16" s="80"/>
      <c r="O16" s="113"/>
      <c r="P16" s="89"/>
      <c r="Q16" s="114"/>
      <c r="R16" s="625"/>
      <c r="S16" s="626"/>
      <c r="V16" s="445" t="s">
        <v>306</v>
      </c>
    </row>
    <row r="17" spans="1:22" ht="18.75" customHeight="1" thickBot="1">
      <c r="A17" s="269"/>
      <c r="B17" s="269"/>
      <c r="C17" s="269"/>
      <c r="D17" s="270"/>
      <c r="E17" s="270"/>
      <c r="F17" s="31"/>
      <c r="G17" s="271"/>
      <c r="H17" s="272" t="s">
        <v>81</v>
      </c>
      <c r="I17" s="621">
        <f>'Daily Mileage Log'!I47</f>
        <v>0</v>
      </c>
      <c r="J17" s="622"/>
      <c r="K17" s="54"/>
      <c r="N17" s="617" t="s">
        <v>120</v>
      </c>
      <c r="O17" s="617"/>
      <c r="P17" s="627">
        <f>'Daily Mileage Log'!B11</f>
        <v>0</v>
      </c>
      <c r="Q17" s="628"/>
      <c r="R17" s="619">
        <f>SUM(R9:S16)</f>
        <v>0</v>
      </c>
      <c r="S17" s="620"/>
      <c r="V17" s="192" t="s">
        <v>195</v>
      </c>
    </row>
    <row r="18" spans="1:22" ht="12.75" customHeight="1">
      <c r="A18" s="57" t="s">
        <v>241</v>
      </c>
      <c r="D18" s="54"/>
      <c r="E18" s="187"/>
      <c r="F18" s="187"/>
      <c r="G18" s="187"/>
      <c r="H18" s="187"/>
      <c r="I18" s="45"/>
      <c r="J18" s="45"/>
      <c r="K18" s="54"/>
      <c r="N18" s="90"/>
      <c r="O18" s="126"/>
      <c r="P18" s="126"/>
      <c r="Q18" s="126"/>
      <c r="R18" s="126"/>
      <c r="S18" s="126"/>
      <c r="V18" s="64" t="s">
        <v>197</v>
      </c>
    </row>
    <row r="19" spans="1:22" ht="12.75">
      <c r="A19" s="4" t="s">
        <v>43</v>
      </c>
      <c r="C19" s="212">
        <f>R3</f>
        <v>0</v>
      </c>
      <c r="D19" s="54" t="s">
        <v>100</v>
      </c>
      <c r="E19" s="57" t="s">
        <v>239</v>
      </c>
      <c r="L19" s="57" t="s">
        <v>242</v>
      </c>
      <c r="V19" s="64" t="s">
        <v>198</v>
      </c>
    </row>
    <row r="20" spans="1:22" ht="12.75" customHeight="1">
      <c r="A20" s="63" t="s">
        <v>44</v>
      </c>
      <c r="B20" s="32"/>
      <c r="C20" s="182">
        <f>IF(ISERROR(C21/IF(C19&gt;4,C19,IF(ISBLANK(C19),"",5))),"",C21/IF(C19&gt;4,C19,IF(ISBLANK(C19),"",5)))</f>
        <v>0</v>
      </c>
      <c r="D20" s="54"/>
      <c r="E20" s="64" t="s">
        <v>6</v>
      </c>
      <c r="F20" s="64" t="s">
        <v>0</v>
      </c>
      <c r="G20" s="64" t="s">
        <v>12</v>
      </c>
      <c r="H20" s="64" t="s">
        <v>13</v>
      </c>
      <c r="I20" s="64" t="s">
        <v>14</v>
      </c>
      <c r="K20" s="54"/>
      <c r="L20" s="618" t="s">
        <v>83</v>
      </c>
      <c r="M20" s="618"/>
      <c r="N20" s="618"/>
      <c r="O20" s="618"/>
      <c r="P20" s="618"/>
      <c r="Q20" s="618"/>
      <c r="R20" s="618"/>
      <c r="S20" s="618"/>
      <c r="V20" s="64" t="s">
        <v>199</v>
      </c>
    </row>
    <row r="21" spans="1:22" ht="12.75">
      <c r="A21" s="4" t="s">
        <v>11</v>
      </c>
      <c r="C21" s="183">
        <f>IF(ISERROR(Formulas!O9),0,Formulas!O9)</f>
        <v>0</v>
      </c>
      <c r="D21" s="54"/>
      <c r="E21" s="121"/>
      <c r="F21" s="122"/>
      <c r="G21" s="121"/>
      <c r="H21" s="121"/>
      <c r="I21" s="123"/>
      <c r="L21" s="618"/>
      <c r="M21" s="618"/>
      <c r="N21" s="618"/>
      <c r="O21" s="618"/>
      <c r="P21" s="618"/>
      <c r="Q21" s="618"/>
      <c r="R21" s="618"/>
      <c r="S21" s="618"/>
      <c r="V21" s="64" t="s">
        <v>200</v>
      </c>
    </row>
    <row r="22" spans="1:19" ht="12.75">
      <c r="A22" s="4" t="s">
        <v>111</v>
      </c>
      <c r="C22" s="345">
        <f>'Ridership Report'!AN34</f>
        <v>0</v>
      </c>
      <c r="D22" s="54"/>
      <c r="E22" s="121"/>
      <c r="F22" s="122"/>
      <c r="G22" s="121"/>
      <c r="H22" s="121"/>
      <c r="I22" s="123"/>
      <c r="L22" s="65" t="s">
        <v>84</v>
      </c>
      <c r="M22" s="65"/>
      <c r="N22" s="65" t="s">
        <v>0</v>
      </c>
      <c r="O22" s="65"/>
      <c r="P22" s="66"/>
      <c r="Q22" s="66"/>
      <c r="R22" s="66"/>
      <c r="S22" s="66"/>
    </row>
    <row r="23" spans="1:19" ht="12.75">
      <c r="A23" s="4" t="s">
        <v>226</v>
      </c>
      <c r="C23" s="320"/>
      <c r="D23" s="54"/>
      <c r="E23" s="121"/>
      <c r="F23" s="122"/>
      <c r="G23" s="121"/>
      <c r="H23" s="121"/>
      <c r="I23" s="123"/>
      <c r="L23" s="612" t="s">
        <v>15</v>
      </c>
      <c r="M23" s="612"/>
      <c r="N23" s="165"/>
      <c r="O23" s="66" t="s">
        <v>16</v>
      </c>
      <c r="P23" s="66"/>
      <c r="R23" s="66"/>
      <c r="S23" s="66"/>
    </row>
    <row r="24" spans="3:19" ht="12.75">
      <c r="C24" s="324"/>
      <c r="D24" s="54"/>
      <c r="E24" s="121"/>
      <c r="F24" s="122"/>
      <c r="G24" s="121"/>
      <c r="H24" s="121"/>
      <c r="I24" s="123"/>
      <c r="L24" s="612" t="s">
        <v>15</v>
      </c>
      <c r="M24" s="612"/>
      <c r="N24" s="165"/>
      <c r="O24" s="66" t="s">
        <v>17</v>
      </c>
      <c r="P24" s="66"/>
      <c r="R24" s="66"/>
      <c r="S24" s="66"/>
    </row>
    <row r="25" spans="1:19" ht="12.75">
      <c r="A25" s="57" t="s">
        <v>240</v>
      </c>
      <c r="C25" s="318"/>
      <c r="D25" s="54"/>
      <c r="E25" s="121"/>
      <c r="F25" s="122"/>
      <c r="G25" s="121"/>
      <c r="H25" s="121"/>
      <c r="I25" s="123"/>
      <c r="L25" s="612" t="s">
        <v>15</v>
      </c>
      <c r="M25" s="612"/>
      <c r="N25" s="165"/>
      <c r="O25" s="66" t="s">
        <v>18</v>
      </c>
      <c r="P25" s="66"/>
      <c r="R25" s="66"/>
      <c r="S25" s="66"/>
    </row>
    <row r="26" spans="1:23" ht="12.75">
      <c r="A26" s="4" t="s">
        <v>227</v>
      </c>
      <c r="C26" s="317"/>
      <c r="D26" s="54"/>
      <c r="E26" s="121"/>
      <c r="F26" s="122"/>
      <c r="G26" s="121"/>
      <c r="H26" s="121"/>
      <c r="I26" s="123"/>
      <c r="L26" s="612" t="s">
        <v>15</v>
      </c>
      <c r="M26" s="612"/>
      <c r="N26" s="165"/>
      <c r="O26" s="66" t="s">
        <v>19</v>
      </c>
      <c r="P26" s="66"/>
      <c r="R26" s="66"/>
      <c r="S26" s="66"/>
      <c r="V26" s="282" t="s">
        <v>179</v>
      </c>
      <c r="W26" s="283"/>
    </row>
    <row r="27" spans="1:23" ht="12.75">
      <c r="A27" s="4" t="s">
        <v>228</v>
      </c>
      <c r="C27" s="317"/>
      <c r="D27" s="54"/>
      <c r="E27" s="121"/>
      <c r="F27" s="122"/>
      <c r="G27" s="121"/>
      <c r="H27" s="121"/>
      <c r="I27" s="123"/>
      <c r="L27" s="612" t="s">
        <v>15</v>
      </c>
      <c r="M27" s="612"/>
      <c r="N27" s="165"/>
      <c r="O27" s="66" t="s">
        <v>20</v>
      </c>
      <c r="P27" s="66"/>
      <c r="R27" s="66"/>
      <c r="S27" s="66"/>
      <c r="V27" s="284"/>
      <c r="W27" s="285"/>
    </row>
    <row r="28" spans="1:23" ht="12.75">
      <c r="A28" s="4" t="s">
        <v>225</v>
      </c>
      <c r="C28" s="120"/>
      <c r="D28" s="54"/>
      <c r="E28" s="121"/>
      <c r="F28" s="122"/>
      <c r="G28" s="121"/>
      <c r="H28" s="121"/>
      <c r="I28" s="123"/>
      <c r="L28" s="612" t="s">
        <v>15</v>
      </c>
      <c r="M28" s="612"/>
      <c r="N28" s="165"/>
      <c r="O28" s="66" t="s">
        <v>21</v>
      </c>
      <c r="P28" s="66"/>
      <c r="R28" s="66"/>
      <c r="S28" s="66"/>
      <c r="V28" s="284"/>
      <c r="W28" s="285"/>
    </row>
    <row r="29" spans="1:23" ht="12.75">
      <c r="A29" s="4" t="s">
        <v>224</v>
      </c>
      <c r="C29" s="120"/>
      <c r="E29" s="121"/>
      <c r="F29" s="122"/>
      <c r="G29" s="121"/>
      <c r="H29" s="121"/>
      <c r="I29" s="123"/>
      <c r="L29" s="612" t="s">
        <v>15</v>
      </c>
      <c r="M29" s="612"/>
      <c r="N29" s="165"/>
      <c r="O29" s="66" t="s">
        <v>22</v>
      </c>
      <c r="P29" s="66"/>
      <c r="R29" s="66"/>
      <c r="S29" s="66"/>
      <c r="V29" s="284"/>
      <c r="W29" s="285"/>
    </row>
    <row r="30" spans="1:23" ht="12.75">
      <c r="A30" s="4" t="s">
        <v>42</v>
      </c>
      <c r="B30" s="54"/>
      <c r="C30" s="120"/>
      <c r="E30" s="121"/>
      <c r="F30" s="122"/>
      <c r="G30" s="121"/>
      <c r="H30" s="121"/>
      <c r="I30" s="123"/>
      <c r="L30" s="612" t="s">
        <v>15</v>
      </c>
      <c r="M30" s="612"/>
      <c r="N30" s="165"/>
      <c r="O30" s="66" t="s">
        <v>23</v>
      </c>
      <c r="P30" s="66"/>
      <c r="R30" s="66"/>
      <c r="S30" s="66"/>
      <c r="V30" s="284" t="s">
        <v>113</v>
      </c>
      <c r="W30" s="297">
        <f>IF(P13="None",0,40)</f>
        <v>40</v>
      </c>
    </row>
    <row r="31" spans="1:23" ht="12.75">
      <c r="A31" s="4" t="s">
        <v>320</v>
      </c>
      <c r="B31" s="54"/>
      <c r="C31" s="120"/>
      <c r="E31" s="121"/>
      <c r="F31" s="122"/>
      <c r="G31" s="121"/>
      <c r="H31" s="121"/>
      <c r="I31" s="123"/>
      <c r="L31" s="612" t="s">
        <v>15</v>
      </c>
      <c r="M31" s="612"/>
      <c r="N31" s="165"/>
      <c r="O31" s="66" t="s">
        <v>24</v>
      </c>
      <c r="P31" s="66"/>
      <c r="R31" s="66"/>
      <c r="S31" s="66"/>
      <c r="V31" s="284"/>
      <c r="W31" s="285"/>
    </row>
    <row r="32" spans="3:23" ht="12.75">
      <c r="C32" s="194"/>
      <c r="E32" s="121"/>
      <c r="F32" s="122"/>
      <c r="G32" s="121"/>
      <c r="H32" s="121"/>
      <c r="I32" s="123"/>
      <c r="L32" s="612" t="s">
        <v>15</v>
      </c>
      <c r="M32" s="612"/>
      <c r="N32" s="165"/>
      <c r="O32" s="66" t="s">
        <v>26</v>
      </c>
      <c r="P32" s="66"/>
      <c r="R32" s="66"/>
      <c r="S32" s="66"/>
      <c r="V32" s="284"/>
      <c r="W32" s="285"/>
    </row>
    <row r="33" spans="1:23" ht="12.75">
      <c r="A33" s="4" t="s">
        <v>321</v>
      </c>
      <c r="C33" s="195"/>
      <c r="E33" s="606" t="s">
        <v>123</v>
      </c>
      <c r="F33" s="606"/>
      <c r="G33" s="606"/>
      <c r="H33" s="606"/>
      <c r="I33" s="184">
        <f>SUM(I21:I32)</f>
        <v>0</v>
      </c>
      <c r="L33" s="612" t="s">
        <v>15</v>
      </c>
      <c r="M33" s="612"/>
      <c r="N33" s="165"/>
      <c r="O33" s="66" t="s">
        <v>29</v>
      </c>
      <c r="P33" s="66"/>
      <c r="R33" s="66"/>
      <c r="S33" s="66"/>
      <c r="V33" s="286" t="s">
        <v>101</v>
      </c>
      <c r="W33" s="287">
        <f>I17</f>
        <v>0</v>
      </c>
    </row>
    <row r="34" spans="1:23" ht="13.5" thickBot="1">
      <c r="A34" s="645"/>
      <c r="B34" s="611"/>
      <c r="C34" s="144"/>
      <c r="L34" s="612" t="s">
        <v>15</v>
      </c>
      <c r="M34" s="612"/>
      <c r="N34" s="165"/>
      <c r="O34" s="66" t="s">
        <v>30</v>
      </c>
      <c r="P34" s="66"/>
      <c r="R34" s="66"/>
      <c r="S34" s="66"/>
      <c r="V34" s="288" t="s">
        <v>104</v>
      </c>
      <c r="W34" s="289">
        <f>IF(ISERROR(R15+R13+W30),0,R15+R13+W30)</f>
        <v>0</v>
      </c>
    </row>
    <row r="35" spans="1:23" ht="12.75">
      <c r="A35" s="645"/>
      <c r="B35" s="611"/>
      <c r="C35" s="144"/>
      <c r="E35" s="67" t="s">
        <v>72</v>
      </c>
      <c r="L35" s="612" t="s">
        <v>15</v>
      </c>
      <c r="M35" s="612"/>
      <c r="N35" s="165"/>
      <c r="O35" s="66" t="s">
        <v>31</v>
      </c>
      <c r="P35" s="66"/>
      <c r="R35" s="66"/>
      <c r="S35" s="66"/>
      <c r="V35" s="290" t="s">
        <v>112</v>
      </c>
      <c r="W35" s="293">
        <f>W33-W34</f>
        <v>0</v>
      </c>
    </row>
    <row r="36" spans="1:23" ht="12.75" customHeight="1" thickBot="1">
      <c r="A36" s="646"/>
      <c r="B36" s="605"/>
      <c r="C36" s="213"/>
      <c r="E36" s="64" t="s">
        <v>0</v>
      </c>
      <c r="F36" s="648" t="s">
        <v>32</v>
      </c>
      <c r="G36" s="648"/>
      <c r="H36" s="648"/>
      <c r="I36" s="155" t="s">
        <v>33</v>
      </c>
      <c r="L36" s="612" t="s">
        <v>15</v>
      </c>
      <c r="M36" s="612"/>
      <c r="N36" s="165"/>
      <c r="O36" s="66" t="s">
        <v>34</v>
      </c>
      <c r="P36" s="66"/>
      <c r="R36" s="66"/>
      <c r="S36" s="66"/>
      <c r="V36" s="284" t="s">
        <v>105</v>
      </c>
      <c r="W36" s="291">
        <f>Q10</f>
        <v>0</v>
      </c>
    </row>
    <row r="37" spans="1:23" ht="12.75">
      <c r="A37" s="640" t="s">
        <v>25</v>
      </c>
      <c r="B37" s="640"/>
      <c r="C37" s="322">
        <f>SUM(C21:C23)-SUM(C26:C31)-SUM(C34:C36)</f>
        <v>0</v>
      </c>
      <c r="E37" s="122"/>
      <c r="F37" s="647"/>
      <c r="G37" s="647"/>
      <c r="H37" s="647"/>
      <c r="I37" s="156"/>
      <c r="L37" s="612" t="s">
        <v>15</v>
      </c>
      <c r="M37" s="612"/>
      <c r="N37" s="165"/>
      <c r="O37" s="66" t="s">
        <v>35</v>
      </c>
      <c r="P37" s="66"/>
      <c r="R37" s="66"/>
      <c r="S37" s="66"/>
      <c r="V37" s="284" t="s">
        <v>106</v>
      </c>
      <c r="W37" s="285">
        <f>IF(ISERROR(W35/W36),0,W35/W36)</f>
        <v>0</v>
      </c>
    </row>
    <row r="38" spans="1:23" ht="12.75">
      <c r="A38" s="490" t="s">
        <v>27</v>
      </c>
      <c r="B38" s="490"/>
      <c r="C38" s="211"/>
      <c r="E38" s="122"/>
      <c r="F38" s="647"/>
      <c r="G38" s="647"/>
      <c r="H38" s="647"/>
      <c r="I38" s="156"/>
      <c r="L38" s="612" t="s">
        <v>15</v>
      </c>
      <c r="M38" s="612"/>
      <c r="N38" s="165"/>
      <c r="O38" s="66" t="s">
        <v>36</v>
      </c>
      <c r="P38" s="66"/>
      <c r="R38" s="66"/>
      <c r="S38" s="66"/>
      <c r="V38" s="284" t="s">
        <v>107</v>
      </c>
      <c r="W38" s="285">
        <f>ROUNDUP(W37,0)</f>
        <v>0</v>
      </c>
    </row>
    <row r="39" spans="1:23" ht="12.75">
      <c r="A39" s="611"/>
      <c r="B39" s="611"/>
      <c r="C39" s="144"/>
      <c r="D39" s="54"/>
      <c r="E39" s="122"/>
      <c r="F39" s="647"/>
      <c r="G39" s="647"/>
      <c r="H39" s="647"/>
      <c r="I39" s="156"/>
      <c r="L39" s="612" t="s">
        <v>15</v>
      </c>
      <c r="M39" s="612"/>
      <c r="N39" s="165"/>
      <c r="O39" s="66" t="s">
        <v>37</v>
      </c>
      <c r="P39" s="66"/>
      <c r="R39" s="66"/>
      <c r="S39" s="66"/>
      <c r="V39" s="284" t="s">
        <v>114</v>
      </c>
      <c r="W39" s="285">
        <f>IF(AND(W30=0,W38&gt;0,W37&lt;&gt;W38),W38-1,W38)</f>
        <v>0</v>
      </c>
    </row>
    <row r="40" spans="1:23" ht="12.75">
      <c r="A40" s="605"/>
      <c r="B40" s="605"/>
      <c r="C40" s="120"/>
      <c r="D40" s="54"/>
      <c r="E40" s="606" t="s">
        <v>123</v>
      </c>
      <c r="F40" s="606"/>
      <c r="G40" s="606"/>
      <c r="H40" s="606"/>
      <c r="I40" s="185">
        <f>SUM(I37:J39)</f>
        <v>0</v>
      </c>
      <c r="L40" s="612" t="s">
        <v>15</v>
      </c>
      <c r="M40" s="612"/>
      <c r="N40" s="165"/>
      <c r="O40" s="66" t="s">
        <v>39</v>
      </c>
      <c r="P40" s="66"/>
      <c r="R40" s="66"/>
      <c r="S40" s="66"/>
      <c r="V40" s="284"/>
      <c r="W40" s="285"/>
    </row>
    <row r="41" spans="1:23" ht="12.75" customHeight="1">
      <c r="A41" s="605"/>
      <c r="B41" s="605"/>
      <c r="C41" s="321"/>
      <c r="D41" s="54"/>
      <c r="E41" s="68" t="s">
        <v>127</v>
      </c>
      <c r="F41" s="68"/>
      <c r="L41" s="612" t="s">
        <v>15</v>
      </c>
      <c r="M41" s="612"/>
      <c r="N41" s="165"/>
      <c r="O41" s="66" t="s">
        <v>40</v>
      </c>
      <c r="P41" s="66"/>
      <c r="R41" s="66"/>
      <c r="S41" s="66"/>
      <c r="V41" s="292" t="s">
        <v>108</v>
      </c>
      <c r="W41" s="302">
        <f>IF(ISERROR(W33-R15-R13-R9),0,W33-R15-R13-R9)</f>
        <v>0</v>
      </c>
    </row>
    <row r="42" spans="1:19" ht="13.5" customHeight="1">
      <c r="A42" s="220"/>
      <c r="B42" s="220"/>
      <c r="C42" s="323"/>
      <c r="D42" s="54"/>
      <c r="E42" s="159"/>
      <c r="F42" s="32"/>
      <c r="G42" s="32"/>
      <c r="H42" s="32"/>
      <c r="I42" s="32"/>
      <c r="L42" s="612" t="s">
        <v>15</v>
      </c>
      <c r="M42" s="612"/>
      <c r="N42" s="165"/>
      <c r="O42" s="66" t="s">
        <v>41</v>
      </c>
      <c r="P42" s="66"/>
      <c r="R42" s="66"/>
      <c r="S42" s="66"/>
    </row>
    <row r="43" spans="1:19" ht="18" customHeight="1">
      <c r="A43" s="4" t="s">
        <v>109</v>
      </c>
      <c r="C43" s="345">
        <f>IF(R15&gt;0,0.4*R15,0)</f>
        <v>0</v>
      </c>
      <c r="D43" s="54"/>
      <c r="E43" s="164"/>
      <c r="F43" s="164"/>
      <c r="G43" s="164"/>
      <c r="H43" s="164"/>
      <c r="I43" s="164"/>
      <c r="J43" s="164"/>
      <c r="L43" s="612" t="s">
        <v>15</v>
      </c>
      <c r="M43" s="612"/>
      <c r="N43" s="165"/>
      <c r="O43" s="66" t="s">
        <v>82</v>
      </c>
      <c r="P43" s="66"/>
      <c r="R43" s="66"/>
      <c r="S43" s="66"/>
    </row>
    <row r="44" spans="3:19" ht="17.25" customHeight="1" thickBot="1">
      <c r="C44" s="346"/>
      <c r="D44" s="54"/>
      <c r="E44" s="164"/>
      <c r="F44" s="473"/>
      <c r="G44" s="473"/>
      <c r="H44" s="473"/>
      <c r="I44" s="473"/>
      <c r="J44" s="473"/>
      <c r="K44" s="257"/>
      <c r="L44" s="474" t="s">
        <v>238</v>
      </c>
      <c r="M44" s="257"/>
      <c r="N44" s="475"/>
      <c r="O44" s="476"/>
      <c r="P44" s="476"/>
      <c r="Q44" s="476"/>
      <c r="R44" s="476"/>
      <c r="S44" s="66"/>
    </row>
    <row r="45" spans="1:19" ht="15.75" customHeight="1">
      <c r="A45" s="609" t="s">
        <v>322</v>
      </c>
      <c r="B45" s="610"/>
      <c r="C45" s="347"/>
      <c r="E45" s="147"/>
      <c r="F45" s="368"/>
      <c r="G45" s="664" t="s">
        <v>169</v>
      </c>
      <c r="H45" s="664"/>
      <c r="I45" s="664"/>
      <c r="J45" s="664"/>
      <c r="K45" s="664"/>
      <c r="L45" s="363"/>
      <c r="M45" s="363"/>
      <c r="N45" s="364"/>
      <c r="O45" s="364"/>
      <c r="P45" s="363"/>
      <c r="Q45" s="662" t="s">
        <v>130</v>
      </c>
      <c r="R45" s="662"/>
      <c r="S45" s="663"/>
    </row>
    <row r="46" spans="1:19" ht="14.25" customHeight="1">
      <c r="A46" s="610"/>
      <c r="B46" s="610"/>
      <c r="C46" s="319"/>
      <c r="E46" s="147"/>
      <c r="F46" s="660" t="s">
        <v>157</v>
      </c>
      <c r="G46" s="661"/>
      <c r="H46" s="661"/>
      <c r="I46" s="661"/>
      <c r="J46" s="361"/>
      <c r="K46" s="357"/>
      <c r="L46" s="362"/>
      <c r="M46" s="362"/>
      <c r="N46" s="362"/>
      <c r="O46" s="362"/>
      <c r="P46" s="362"/>
      <c r="Q46" s="362"/>
      <c r="R46" s="362"/>
      <c r="S46" s="366"/>
    </row>
    <row r="47" spans="3:20" ht="13.5" customHeight="1" thickBot="1">
      <c r="C47" s="324"/>
      <c r="E47" s="147"/>
      <c r="F47" s="365"/>
      <c r="G47" s="357"/>
      <c r="H47" s="357"/>
      <c r="I47" s="357"/>
      <c r="J47" s="357"/>
      <c r="K47" s="357"/>
      <c r="L47" s="362"/>
      <c r="M47" s="362"/>
      <c r="N47" s="362"/>
      <c r="O47" s="362"/>
      <c r="P47" s="362"/>
      <c r="Q47" s="362"/>
      <c r="R47" s="362"/>
      <c r="S47" s="366"/>
      <c r="T47" s="31"/>
    </row>
    <row r="48" spans="1:20" ht="14.25">
      <c r="A48" s="147"/>
      <c r="B48" s="608" t="s">
        <v>38</v>
      </c>
      <c r="C48" s="613">
        <f>SUM(C43:C45,C37)</f>
        <v>0</v>
      </c>
      <c r="D48" s="614"/>
      <c r="E48" s="147"/>
      <c r="F48" s="660" t="s">
        <v>33</v>
      </c>
      <c r="G48" s="661"/>
      <c r="H48" s="661"/>
      <c r="I48" s="661"/>
      <c r="J48" s="367"/>
      <c r="K48" s="661" t="s">
        <v>0</v>
      </c>
      <c r="L48" s="661"/>
      <c r="M48" s="661"/>
      <c r="N48" s="661"/>
      <c r="O48" s="661"/>
      <c r="P48" s="362"/>
      <c r="Q48" s="362"/>
      <c r="R48" s="362"/>
      <c r="S48" s="366"/>
      <c r="T48" s="31"/>
    </row>
    <row r="49" spans="2:20" ht="13.5" thickBot="1">
      <c r="B49" s="608"/>
      <c r="C49" s="615"/>
      <c r="D49" s="616"/>
      <c r="E49" s="147"/>
      <c r="F49" s="358"/>
      <c r="G49" s="359"/>
      <c r="H49" s="359"/>
      <c r="I49" s="359"/>
      <c r="J49" s="359"/>
      <c r="K49" s="359"/>
      <c r="L49" s="359"/>
      <c r="M49" s="359"/>
      <c r="N49" s="359"/>
      <c r="O49" s="359"/>
      <c r="P49" s="359"/>
      <c r="Q49" s="359"/>
      <c r="R49" s="359"/>
      <c r="S49" s="360"/>
      <c r="T49" s="31"/>
    </row>
    <row r="50" spans="2:20" ht="12.75">
      <c r="B50" s="147"/>
      <c r="C50" s="147"/>
      <c r="D50" s="147"/>
      <c r="F50" s="470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  <c r="S50" s="470"/>
      <c r="T50" s="31"/>
    </row>
    <row r="51" spans="1:19" ht="12.75">
      <c r="A51" s="147"/>
      <c r="B51" s="147"/>
      <c r="C51" s="147"/>
      <c r="D51" s="147"/>
      <c r="F51" s="470"/>
      <c r="G51" s="470"/>
      <c r="H51" s="470"/>
      <c r="I51" s="470"/>
      <c r="J51" s="470"/>
      <c r="K51" s="470"/>
      <c r="L51" s="470"/>
      <c r="M51" s="470"/>
      <c r="N51" s="470"/>
      <c r="O51" s="470"/>
      <c r="P51" s="470"/>
      <c r="Q51" s="470"/>
      <c r="R51" s="470"/>
      <c r="S51" s="470"/>
    </row>
    <row r="52" spans="1:4" ht="12.75">
      <c r="A52" s="147"/>
      <c r="B52" s="147"/>
      <c r="C52" s="147"/>
      <c r="D52" s="147"/>
    </row>
    <row r="53" spans="1:4" ht="12.75">
      <c r="A53" s="147"/>
      <c r="B53" s="147"/>
      <c r="C53" s="147"/>
      <c r="D53" s="147"/>
    </row>
    <row r="54" spans="1:4" ht="12.75">
      <c r="A54" s="147"/>
      <c r="C54" s="147"/>
      <c r="D54" s="147"/>
    </row>
    <row r="55" ht="12.75">
      <c r="A55" s="147"/>
    </row>
  </sheetData>
  <sheetProtection password="E4A4" sheet="1" selectLockedCells="1"/>
  <mergeCells count="91">
    <mergeCell ref="F46:I46"/>
    <mergeCell ref="F48:I48"/>
    <mergeCell ref="K48:O48"/>
    <mergeCell ref="Q45:S45"/>
    <mergeCell ref="G45:K45"/>
    <mergeCell ref="H1:K1"/>
    <mergeCell ref="D10:F10"/>
    <mergeCell ref="D14:F14"/>
    <mergeCell ref="D15:F15"/>
    <mergeCell ref="C3:G3"/>
    <mergeCell ref="G12:H12"/>
    <mergeCell ref="G13:H13"/>
    <mergeCell ref="D12:F12"/>
    <mergeCell ref="D13:F13"/>
    <mergeCell ref="D16:F16"/>
    <mergeCell ref="G14:H14"/>
    <mergeCell ref="G15:H15"/>
    <mergeCell ref="G16:H16"/>
    <mergeCell ref="I3:K6"/>
    <mergeCell ref="D9:F9"/>
    <mergeCell ref="G10:H10"/>
    <mergeCell ref="D11:F11"/>
    <mergeCell ref="G11:H11"/>
    <mergeCell ref="G8:H8"/>
    <mergeCell ref="D8:F8"/>
    <mergeCell ref="G9:H9"/>
    <mergeCell ref="I9:J9"/>
    <mergeCell ref="D7:F7"/>
    <mergeCell ref="L26:M26"/>
    <mergeCell ref="L27:M27"/>
    <mergeCell ref="L28:M28"/>
    <mergeCell ref="L29:M29"/>
    <mergeCell ref="A40:B40"/>
    <mergeCell ref="F36:H36"/>
    <mergeCell ref="A38:B38"/>
    <mergeCell ref="A34:B34"/>
    <mergeCell ref="F37:H37"/>
    <mergeCell ref="F38:H38"/>
    <mergeCell ref="L38:M38"/>
    <mergeCell ref="L39:M39"/>
    <mergeCell ref="L30:M30"/>
    <mergeCell ref="L31:M31"/>
    <mergeCell ref="L32:M32"/>
    <mergeCell ref="L33:M33"/>
    <mergeCell ref="L34:M34"/>
    <mergeCell ref="A35:B35"/>
    <mergeCell ref="A36:B36"/>
    <mergeCell ref="A37:B37"/>
    <mergeCell ref="E33:H33"/>
    <mergeCell ref="F39:H39"/>
    <mergeCell ref="L24:M24"/>
    <mergeCell ref="L25:M25"/>
    <mergeCell ref="L35:M35"/>
    <mergeCell ref="L36:M36"/>
    <mergeCell ref="L37:M37"/>
    <mergeCell ref="R1:S2"/>
    <mergeCell ref="R3:S3"/>
    <mergeCell ref="N1:Q1"/>
    <mergeCell ref="N3:P3"/>
    <mergeCell ref="O12:Q12"/>
    <mergeCell ref="N9:P9"/>
    <mergeCell ref="N10:P10"/>
    <mergeCell ref="R9:S10"/>
    <mergeCell ref="R11:S12"/>
    <mergeCell ref="R13:S14"/>
    <mergeCell ref="R15:S16"/>
    <mergeCell ref="I15:J15"/>
    <mergeCell ref="P17:Q17"/>
    <mergeCell ref="P13:Q13"/>
    <mergeCell ref="I16:J16"/>
    <mergeCell ref="I14:J14"/>
    <mergeCell ref="L40:M40"/>
    <mergeCell ref="L41:M41"/>
    <mergeCell ref="L42:M42"/>
    <mergeCell ref="L43:M43"/>
    <mergeCell ref="C48:D49"/>
    <mergeCell ref="N17:O17"/>
    <mergeCell ref="L20:S21"/>
    <mergeCell ref="R17:S17"/>
    <mergeCell ref="I17:J17"/>
    <mergeCell ref="L23:M23"/>
    <mergeCell ref="A41:B41"/>
    <mergeCell ref="E40:H40"/>
    <mergeCell ref="I13:J13"/>
    <mergeCell ref="I10:J10"/>
    <mergeCell ref="I8:J8"/>
    <mergeCell ref="B48:B49"/>
    <mergeCell ref="A45:B46"/>
    <mergeCell ref="I12:J12"/>
    <mergeCell ref="I11:J11"/>
    <mergeCell ref="A39:B39"/>
  </mergeCells>
  <conditionalFormatting sqref="C48 C37 C20:C21 Q10 Q9:R9 R11 R13 R15 R17 I17 A9:J16">
    <cfRule type="expression" priority="7" dxfId="1" stopIfTrue="1">
      <formula>ISERROR($C$48)</formula>
    </cfRule>
  </conditionalFormatting>
  <conditionalFormatting sqref="I3:K6">
    <cfRule type="cellIs" priority="4" dxfId="5" operator="equal" stopIfTrue="1">
      <formula>0</formula>
    </cfRule>
  </conditionalFormatting>
  <dataValidations count="6">
    <dataValidation type="list" allowBlank="1" showInputMessage="1" showErrorMessage="1" sqref="P13">
      <formula1>"None, Base 50, Full Van 100"</formula1>
    </dataValidation>
    <dataValidation type="list" allowBlank="1" showInputMessage="1" showErrorMessage="1" sqref="R6">
      <formula1>"7,12,15"</formula1>
    </dataValidation>
    <dataValidation errorStyle="warning" type="list" allowBlank="1" sqref="C19">
      <formula1>PayPass</formula1>
    </dataValidation>
    <dataValidation type="list" allowBlank="1" showInputMessage="1" showErrorMessage="1" sqref="L23:M43">
      <formula1>"Yes, No"</formula1>
    </dataValidation>
    <dataValidation errorStyle="information" type="decimal" operator="lessThanOrEqual" allowBlank="1" showErrorMessage="1" error="Van wash credit is limited to $20 per month." sqref="C26">
      <formula1>20</formula1>
    </dataValidation>
    <dataValidation type="list" allowBlank="1" sqref="Q8">
      <formula1>FareList</formula1>
    </dataValidation>
  </dataValidations>
  <printOptions/>
  <pageMargins left="0.25" right="0" top="0.25" bottom="0.25" header="0" footer="0"/>
  <pageSetup fitToHeight="1" fitToWidth="1"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55"/>
  <sheetViews>
    <sheetView showGridLines="0" zoomScale="90" zoomScaleNormal="90" zoomScalePageLayoutView="0" workbookViewId="0" topLeftCell="A1">
      <selection activeCell="H4" sqref="H4"/>
    </sheetView>
  </sheetViews>
  <sheetFormatPr defaultColWidth="9.140625" defaultRowHeight="12.75"/>
  <cols>
    <col min="1" max="1" width="12.8515625" style="3" customWidth="1"/>
    <col min="2" max="3" width="10.421875" style="3" customWidth="1"/>
    <col min="4" max="4" width="13.28125" style="3" customWidth="1"/>
    <col min="5" max="5" width="14.28125" style="3" customWidth="1"/>
    <col min="6" max="6" width="13.7109375" style="5" hidden="1" customWidth="1"/>
    <col min="7" max="7" width="9.57421875" style="5" customWidth="1"/>
    <col min="8" max="8" width="46.421875" style="5" customWidth="1"/>
    <col min="9" max="16384" width="9.140625" style="3" customWidth="1"/>
  </cols>
  <sheetData>
    <row r="1" ht="8.25" customHeight="1"/>
    <row r="2" ht="8.25" customHeight="1"/>
    <row r="3" spans="2:8" ht="26.25">
      <c r="B3" s="509">
        <v>40756</v>
      </c>
      <c r="C3" s="509"/>
      <c r="D3" s="509"/>
      <c r="E3" s="149" t="s">
        <v>116</v>
      </c>
      <c r="H3" s="145"/>
    </row>
    <row r="4" ht="15" customHeight="1" thickBot="1"/>
    <row r="5" spans="3:7" ht="17.25" thickBot="1">
      <c r="C5" s="7" t="s">
        <v>117</v>
      </c>
      <c r="D5" s="377">
        <v>64</v>
      </c>
      <c r="E5" s="7" t="s">
        <v>6</v>
      </c>
      <c r="G5" s="377">
        <v>2083</v>
      </c>
    </row>
    <row r="6" ht="6" customHeight="1"/>
    <row r="7" spans="2:8" ht="6" customHeight="1">
      <c r="B7" s="2"/>
      <c r="E7" s="8"/>
      <c r="F7" s="148"/>
      <c r="H7" s="355"/>
    </row>
    <row r="8" ht="6" customHeight="1"/>
    <row r="9" ht="15.75" customHeight="1" thickBot="1">
      <c r="A9" s="9" t="s">
        <v>55</v>
      </c>
    </row>
    <row r="10" spans="1:8" s="5" customFormat="1" ht="45" customHeight="1" thickBot="1">
      <c r="A10" s="130" t="s">
        <v>0</v>
      </c>
      <c r="B10" s="131" t="s">
        <v>97</v>
      </c>
      <c r="C10" s="131" t="s">
        <v>131</v>
      </c>
      <c r="D10" s="131" t="s">
        <v>118</v>
      </c>
      <c r="E10" s="106" t="s">
        <v>53</v>
      </c>
      <c r="F10" s="132" t="s">
        <v>102</v>
      </c>
      <c r="G10" s="106" t="s">
        <v>132</v>
      </c>
      <c r="H10" s="107" t="s">
        <v>103</v>
      </c>
    </row>
    <row r="11" spans="1:11" s="5" customFormat="1" ht="16.5" customHeight="1" thickBot="1">
      <c r="A11" s="378">
        <v>40756</v>
      </c>
      <c r="B11" s="379">
        <v>2083</v>
      </c>
      <c r="C11" s="380">
        <v>23154</v>
      </c>
      <c r="D11" s="381">
        <v>23185</v>
      </c>
      <c r="E11" s="154">
        <v>31</v>
      </c>
      <c r="F11" s="382"/>
      <c r="G11" s="383"/>
      <c r="H11" s="384"/>
      <c r="K11" s="91"/>
    </row>
    <row r="12" spans="1:8" s="5" customFormat="1" ht="16.5" customHeight="1">
      <c r="A12" s="378">
        <v>40757</v>
      </c>
      <c r="B12" s="385"/>
      <c r="C12" s="383"/>
      <c r="D12" s="381">
        <v>23217</v>
      </c>
      <c r="E12" s="154">
        <v>32</v>
      </c>
      <c r="F12" s="386"/>
      <c r="G12" s="387"/>
      <c r="H12" s="388"/>
    </row>
    <row r="13" spans="1:8" s="5" customFormat="1" ht="16.5" customHeight="1">
      <c r="A13" s="378">
        <v>40758</v>
      </c>
      <c r="B13" s="385"/>
      <c r="C13" s="387"/>
      <c r="D13" s="381">
        <v>23248</v>
      </c>
      <c r="E13" s="154">
        <v>31</v>
      </c>
      <c r="F13" s="386"/>
      <c r="G13" s="387"/>
      <c r="H13" s="388"/>
    </row>
    <row r="14" spans="1:8" s="5" customFormat="1" ht="16.5" customHeight="1">
      <c r="A14" s="378">
        <v>40759</v>
      </c>
      <c r="B14" s="385"/>
      <c r="C14" s="387"/>
      <c r="D14" s="381">
        <v>23281</v>
      </c>
      <c r="E14" s="154">
        <v>33</v>
      </c>
      <c r="F14" s="386"/>
      <c r="G14" s="387"/>
      <c r="H14" s="388"/>
    </row>
    <row r="15" spans="1:8" s="5" customFormat="1" ht="16.5" customHeight="1">
      <c r="A15" s="378">
        <v>40760</v>
      </c>
      <c r="B15" s="385"/>
      <c r="C15" s="387"/>
      <c r="D15" s="381">
        <v>23313</v>
      </c>
      <c r="E15" s="154">
        <v>32</v>
      </c>
      <c r="F15" s="386"/>
      <c r="G15" s="387"/>
      <c r="H15" s="388"/>
    </row>
    <row r="16" spans="1:8" s="5" customFormat="1" ht="16.5" customHeight="1">
      <c r="A16" s="378">
        <v>40763</v>
      </c>
      <c r="B16" s="385"/>
      <c r="C16" s="387"/>
      <c r="D16" s="381">
        <v>23345</v>
      </c>
      <c r="E16" s="154">
        <v>32</v>
      </c>
      <c r="F16" s="386"/>
      <c r="G16" s="387"/>
      <c r="H16" s="388"/>
    </row>
    <row r="17" spans="1:8" ht="16.5" customHeight="1">
      <c r="A17" s="378">
        <v>40764</v>
      </c>
      <c r="B17" s="385"/>
      <c r="C17" s="389"/>
      <c r="D17" s="381">
        <v>23376</v>
      </c>
      <c r="E17" s="154">
        <v>31</v>
      </c>
      <c r="F17" s="386"/>
      <c r="G17" s="387"/>
      <c r="H17" s="388"/>
    </row>
    <row r="18" spans="1:8" ht="16.5" customHeight="1">
      <c r="A18" s="378">
        <v>40765</v>
      </c>
      <c r="B18" s="385"/>
      <c r="C18" s="389"/>
      <c r="D18" s="381">
        <v>23408</v>
      </c>
      <c r="E18" s="154">
        <v>32</v>
      </c>
      <c r="F18" s="386"/>
      <c r="G18" s="387"/>
      <c r="H18" s="388"/>
    </row>
    <row r="19" spans="1:8" ht="16.5" customHeight="1">
      <c r="A19" s="378">
        <v>40766</v>
      </c>
      <c r="B19" s="385"/>
      <c r="C19" s="389"/>
      <c r="D19" s="381">
        <v>23440</v>
      </c>
      <c r="E19" s="154">
        <v>32</v>
      </c>
      <c r="F19" s="386"/>
      <c r="G19" s="387"/>
      <c r="H19" s="388"/>
    </row>
    <row r="20" spans="1:8" ht="16.5" customHeight="1">
      <c r="A20" s="378">
        <v>40767</v>
      </c>
      <c r="B20" s="385"/>
      <c r="C20" s="389"/>
      <c r="D20" s="381">
        <v>23473</v>
      </c>
      <c r="E20" s="154">
        <v>33</v>
      </c>
      <c r="F20" s="386"/>
      <c r="G20" s="387"/>
      <c r="H20" s="388"/>
    </row>
    <row r="21" spans="1:8" ht="16.5" customHeight="1">
      <c r="A21" s="378">
        <v>40770</v>
      </c>
      <c r="B21" s="385"/>
      <c r="C21" s="389"/>
      <c r="D21" s="381">
        <v>23504</v>
      </c>
      <c r="E21" s="154">
        <v>31</v>
      </c>
      <c r="F21" s="386"/>
      <c r="G21" s="387"/>
      <c r="H21" s="388"/>
    </row>
    <row r="22" spans="1:8" ht="16.5" customHeight="1">
      <c r="A22" s="378">
        <v>40771</v>
      </c>
      <c r="B22" s="385"/>
      <c r="C22" s="389"/>
      <c r="D22" s="381">
        <v>23530</v>
      </c>
      <c r="E22" s="154">
        <v>26</v>
      </c>
      <c r="F22" s="386"/>
      <c r="G22" s="387"/>
      <c r="H22" s="388" t="s">
        <v>271</v>
      </c>
    </row>
    <row r="23" spans="1:8" ht="16.5" customHeight="1">
      <c r="A23" s="378">
        <v>40771</v>
      </c>
      <c r="B23" s="385">
        <v>1796</v>
      </c>
      <c r="C23" s="389">
        <v>115248</v>
      </c>
      <c r="D23" s="381">
        <v>115255</v>
      </c>
      <c r="E23" s="154">
        <v>7</v>
      </c>
      <c r="F23" s="386"/>
      <c r="G23" s="387"/>
      <c r="H23" s="388"/>
    </row>
    <row r="24" spans="1:8" ht="16.5" customHeight="1">
      <c r="A24" s="378">
        <v>40772</v>
      </c>
      <c r="B24" s="385"/>
      <c r="C24" s="389"/>
      <c r="D24" s="381">
        <v>115287</v>
      </c>
      <c r="E24" s="154">
        <v>32</v>
      </c>
      <c r="F24" s="386"/>
      <c r="G24" s="387"/>
      <c r="H24" s="388"/>
    </row>
    <row r="25" spans="1:8" ht="16.5" customHeight="1">
      <c r="A25" s="378">
        <v>40773</v>
      </c>
      <c r="B25" s="385"/>
      <c r="C25" s="389"/>
      <c r="D25" s="381">
        <v>115319</v>
      </c>
      <c r="E25" s="154">
        <v>32</v>
      </c>
      <c r="F25" s="386"/>
      <c r="G25" s="387"/>
      <c r="H25" s="388"/>
    </row>
    <row r="26" spans="1:8" ht="16.5" customHeight="1">
      <c r="A26" s="378">
        <v>40774</v>
      </c>
      <c r="B26" s="385"/>
      <c r="C26" s="389"/>
      <c r="D26" s="381">
        <v>115350</v>
      </c>
      <c r="E26" s="154">
        <v>31</v>
      </c>
      <c r="F26" s="386"/>
      <c r="G26" s="387"/>
      <c r="H26" s="388"/>
    </row>
    <row r="27" spans="1:8" ht="16.5" customHeight="1">
      <c r="A27" s="378">
        <v>40777</v>
      </c>
      <c r="B27" s="385"/>
      <c r="C27" s="389"/>
      <c r="D27" s="381">
        <v>115383</v>
      </c>
      <c r="E27" s="154">
        <v>33</v>
      </c>
      <c r="F27" s="386"/>
      <c r="G27" s="387"/>
      <c r="H27" s="388"/>
    </row>
    <row r="28" spans="1:8" ht="16.5" customHeight="1">
      <c r="A28" s="378">
        <v>40778</v>
      </c>
      <c r="B28" s="385"/>
      <c r="C28" s="389"/>
      <c r="D28" s="381">
        <v>115415</v>
      </c>
      <c r="E28" s="154">
        <v>32</v>
      </c>
      <c r="F28" s="386"/>
      <c r="G28" s="387"/>
      <c r="H28" s="388"/>
    </row>
    <row r="29" spans="1:8" ht="16.5" customHeight="1">
      <c r="A29" s="378">
        <v>40779</v>
      </c>
      <c r="B29" s="385"/>
      <c r="C29" s="389"/>
      <c r="D29" s="381">
        <v>115447</v>
      </c>
      <c r="E29" s="154">
        <v>32</v>
      </c>
      <c r="F29" s="386"/>
      <c r="G29" s="387"/>
      <c r="H29" s="388"/>
    </row>
    <row r="30" spans="1:8" ht="16.5" customHeight="1">
      <c r="A30" s="378">
        <v>40780</v>
      </c>
      <c r="B30" s="385"/>
      <c r="C30" s="389"/>
      <c r="D30" s="381">
        <v>115475</v>
      </c>
      <c r="E30" s="154">
        <v>28</v>
      </c>
      <c r="F30" s="386"/>
      <c r="G30" s="387"/>
      <c r="H30" s="388"/>
    </row>
    <row r="31" spans="1:8" ht="16.5" customHeight="1">
      <c r="A31" s="378">
        <v>40780</v>
      </c>
      <c r="B31" s="385">
        <v>2083</v>
      </c>
      <c r="C31" s="389">
        <v>23545</v>
      </c>
      <c r="D31" s="381">
        <v>23551</v>
      </c>
      <c r="E31" s="154">
        <v>6</v>
      </c>
      <c r="F31" s="386"/>
      <c r="G31" s="387"/>
      <c r="H31" s="388" t="s">
        <v>272</v>
      </c>
    </row>
    <row r="32" spans="1:8" ht="16.5" customHeight="1">
      <c r="A32" s="378">
        <v>40781</v>
      </c>
      <c r="B32" s="385"/>
      <c r="C32" s="389"/>
      <c r="D32" s="381">
        <v>23583</v>
      </c>
      <c r="E32" s="154">
        <v>32</v>
      </c>
      <c r="F32" s="386"/>
      <c r="G32" s="387"/>
      <c r="H32" s="388"/>
    </row>
    <row r="33" spans="1:8" ht="16.5" customHeight="1">
      <c r="A33" s="378">
        <v>40784</v>
      </c>
      <c r="B33" s="385"/>
      <c r="C33" s="389"/>
      <c r="D33" s="381">
        <v>23634</v>
      </c>
      <c r="E33" s="154">
        <v>51</v>
      </c>
      <c r="F33" s="386"/>
      <c r="G33" s="387"/>
      <c r="H33" s="388" t="s">
        <v>273</v>
      </c>
    </row>
    <row r="34" spans="1:8" ht="16.5" customHeight="1">
      <c r="A34" s="378">
        <v>40785</v>
      </c>
      <c r="B34" s="385"/>
      <c r="C34" s="389"/>
      <c r="D34" s="381">
        <v>23665</v>
      </c>
      <c r="E34" s="154">
        <v>31</v>
      </c>
      <c r="F34" s="386"/>
      <c r="G34" s="387"/>
      <c r="H34" s="388"/>
    </row>
    <row r="35" spans="1:8" ht="16.5" customHeight="1">
      <c r="A35" s="378">
        <v>40786</v>
      </c>
      <c r="B35" s="385"/>
      <c r="C35" s="389"/>
      <c r="D35" s="381">
        <v>23697</v>
      </c>
      <c r="E35" s="154">
        <v>32</v>
      </c>
      <c r="F35" s="386"/>
      <c r="G35" s="387"/>
      <c r="H35" s="388"/>
    </row>
    <row r="36" spans="1:8" ht="16.5" customHeight="1">
      <c r="A36" s="378"/>
      <c r="B36" s="385"/>
      <c r="C36" s="389"/>
      <c r="D36" s="381"/>
      <c r="E36" s="154">
        <v>0</v>
      </c>
      <c r="F36" s="386"/>
      <c r="G36" s="387"/>
      <c r="H36" s="388"/>
    </row>
    <row r="37" spans="1:8" ht="16.5" customHeight="1">
      <c r="A37" s="378"/>
      <c r="B37" s="385"/>
      <c r="C37" s="389"/>
      <c r="D37" s="381"/>
      <c r="E37" s="154">
        <v>0</v>
      </c>
      <c r="F37" s="386"/>
      <c r="G37" s="387"/>
      <c r="H37" s="388"/>
    </row>
    <row r="38" spans="1:8" ht="16.5" customHeight="1">
      <c r="A38" s="378"/>
      <c r="B38" s="385"/>
      <c r="C38" s="389"/>
      <c r="D38" s="381"/>
      <c r="E38" s="154">
        <v>0</v>
      </c>
      <c r="F38" s="386"/>
      <c r="G38" s="387"/>
      <c r="H38" s="388"/>
    </row>
    <row r="39" spans="1:8" ht="16.5" customHeight="1">
      <c r="A39" s="378"/>
      <c r="B39" s="385"/>
      <c r="C39" s="389"/>
      <c r="D39" s="381"/>
      <c r="E39" s="154">
        <v>0</v>
      </c>
      <c r="F39" s="386"/>
      <c r="G39" s="387"/>
      <c r="H39" s="388"/>
    </row>
    <row r="40" spans="1:8" ht="16.5" customHeight="1">
      <c r="A40" s="378"/>
      <c r="B40" s="385"/>
      <c r="C40" s="389"/>
      <c r="D40" s="381"/>
      <c r="E40" s="154">
        <v>0</v>
      </c>
      <c r="F40" s="386"/>
      <c r="G40" s="387"/>
      <c r="H40" s="388"/>
    </row>
    <row r="41" spans="1:8" ht="16.5" customHeight="1">
      <c r="A41" s="378"/>
      <c r="B41" s="385"/>
      <c r="C41" s="389"/>
      <c r="D41" s="381"/>
      <c r="E41" s="154">
        <v>0</v>
      </c>
      <c r="F41" s="386"/>
      <c r="G41" s="387"/>
      <c r="H41" s="388"/>
    </row>
    <row r="42" spans="1:8" ht="16.5" customHeight="1">
      <c r="A42" s="378"/>
      <c r="B42" s="385"/>
      <c r="C42" s="389"/>
      <c r="D42" s="390"/>
      <c r="E42" s="154">
        <v>0</v>
      </c>
      <c r="F42" s="386"/>
      <c r="G42" s="387"/>
      <c r="H42" s="388"/>
    </row>
    <row r="43" spans="1:8" ht="16.5" customHeight="1">
      <c r="A43" s="378"/>
      <c r="B43" s="385"/>
      <c r="C43" s="389"/>
      <c r="D43" s="390"/>
      <c r="E43" s="154">
        <v>0</v>
      </c>
      <c r="F43" s="386"/>
      <c r="G43" s="387"/>
      <c r="H43" s="388"/>
    </row>
    <row r="44" spans="1:8" ht="16.5" customHeight="1">
      <c r="A44" s="378"/>
      <c r="B44" s="385"/>
      <c r="C44" s="389"/>
      <c r="D44" s="390"/>
      <c r="E44" s="154">
        <v>0</v>
      </c>
      <c r="F44" s="386"/>
      <c r="G44" s="387"/>
      <c r="H44" s="388"/>
    </row>
    <row r="45" spans="1:8" ht="16.5" customHeight="1">
      <c r="A45" s="378"/>
      <c r="B45" s="385"/>
      <c r="C45" s="389"/>
      <c r="D45" s="390"/>
      <c r="E45" s="154">
        <v>0</v>
      </c>
      <c r="F45" s="386"/>
      <c r="G45" s="387"/>
      <c r="H45" s="388"/>
    </row>
    <row r="46" spans="1:8" ht="16.5" customHeight="1" thickBot="1">
      <c r="A46" s="378"/>
      <c r="B46" s="391"/>
      <c r="C46" s="392"/>
      <c r="D46" s="393"/>
      <c r="E46" s="154">
        <v>0</v>
      </c>
      <c r="F46" s="394"/>
      <c r="G46" s="395"/>
      <c r="H46" s="396"/>
    </row>
    <row r="47" spans="4:8" ht="18" customHeight="1" thickBot="1">
      <c r="D47" s="97" t="s">
        <v>1</v>
      </c>
      <c r="E47" s="98">
        <v>755</v>
      </c>
      <c r="F47" s="99">
        <v>0</v>
      </c>
      <c r="G47" s="100">
        <v>0</v>
      </c>
      <c r="H47" s="158">
        <v>755</v>
      </c>
    </row>
    <row r="48" ht="29.25" customHeight="1">
      <c r="F48" s="10" t="s">
        <v>270</v>
      </c>
    </row>
    <row r="49" ht="15">
      <c r="A49" s="92" t="s">
        <v>96</v>
      </c>
    </row>
    <row r="50" ht="13.5">
      <c r="A50" s="3" t="s">
        <v>133</v>
      </c>
    </row>
    <row r="51" ht="13.5">
      <c r="A51" s="3" t="s">
        <v>134</v>
      </c>
    </row>
    <row r="52" ht="13.5">
      <c r="A52" s="3" t="s">
        <v>119</v>
      </c>
    </row>
    <row r="54" spans="6:8" ht="13.5">
      <c r="F54" s="397"/>
      <c r="G54" s="397"/>
      <c r="H54" s="397"/>
    </row>
    <row r="55" spans="6:8" ht="13.5">
      <c r="F55" s="514" t="s">
        <v>2</v>
      </c>
      <c r="G55" s="514"/>
      <c r="H55" s="514"/>
    </row>
  </sheetData>
  <sheetProtection password="E4A4" sheet="1" objects="1" scenarios="1" selectLockedCells="1"/>
  <mergeCells count="2">
    <mergeCell ref="B3:D3"/>
    <mergeCell ref="F55:H55"/>
  </mergeCells>
  <conditionalFormatting sqref="F47">
    <cfRule type="cellIs" priority="2" dxfId="4" operator="greaterThan" stopIfTrue="1">
      <formula>40</formula>
    </cfRule>
  </conditionalFormatting>
  <conditionalFormatting sqref="F48">
    <cfRule type="expression" priority="3" dxfId="3" stopIfTrue="1">
      <formula>$F$47&gt;40</formula>
    </cfRule>
    <cfRule type="expression" priority="4" dxfId="2" stopIfTrue="1">
      <formula>$F$47&lt;=40</formula>
    </cfRule>
  </conditionalFormatting>
  <conditionalFormatting sqref="E11:E46">
    <cfRule type="cellIs" priority="1" dxfId="1" operator="equal" stopIfTrue="1">
      <formula>0</formula>
    </cfRule>
  </conditionalFormatting>
  <dataValidations count="2">
    <dataValidation type="date" operator="greaterThan" allowBlank="1" showErrorMessage="1" promptTitle="REMINDER" prompt="Don't skip lines for the weekend, skip dates!&#10;&#10;ie.&#10;09/04/09&#10;09/07/09" sqref="A11:A46">
      <formula1>36526</formula1>
    </dataValidation>
    <dataValidation type="textLength" operator="equal" allowBlank="1" showInputMessage="1" showErrorMessage="1" errorTitle="4 digits" error="Please enter the 4 digit van number.  If the van ends in a letter, such as &quot;1700s&quot;,  enter only the numbers, like &quot;1700&quot;." sqref="B11:B46 G5">
      <formula1>4</formula1>
    </dataValidation>
  </dataValidations>
  <printOptions horizontalCentered="1"/>
  <pageMargins left="0.6" right="0.6" top="0.54" bottom="0.54" header="0.5" footer="0.5"/>
  <pageSetup fitToHeight="1" fitToWidth="1" horizontalDpi="600" verticalDpi="600" orientation="portrait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showGridLines="0" zoomScalePageLayoutView="0" workbookViewId="0" topLeftCell="A1">
      <selection activeCell="E8" sqref="E8"/>
    </sheetView>
  </sheetViews>
  <sheetFormatPr defaultColWidth="9.140625" defaultRowHeight="12.75"/>
  <cols>
    <col min="1" max="1" width="3.28125" style="75" customWidth="1"/>
    <col min="2" max="2" width="3.7109375" style="4" customWidth="1"/>
    <col min="3" max="4" width="3.421875" style="4" customWidth="1"/>
    <col min="5" max="5" width="20.57421875" style="4" customWidth="1"/>
    <col min="6" max="6" width="21.57421875" style="4" customWidth="1"/>
    <col min="7" max="7" width="15.421875" style="4" customWidth="1"/>
    <col min="8" max="8" width="8.57421875" style="4" customWidth="1"/>
    <col min="9" max="9" width="18.00390625" style="4" bestFit="1" customWidth="1"/>
    <col min="10" max="10" width="18.8515625" style="4" customWidth="1"/>
    <col min="11" max="11" width="26.28125" style="4" customWidth="1"/>
    <col min="12" max="12" width="3.7109375" style="4" customWidth="1"/>
    <col min="13" max="13" width="13.00390625" style="4" customWidth="1"/>
    <col min="14" max="16384" width="9.140625" style="4" customWidth="1"/>
  </cols>
  <sheetData>
    <row r="1" spans="5:11" ht="12.75" customHeight="1">
      <c r="E1" s="677" t="s">
        <v>151</v>
      </c>
      <c r="F1" s="677"/>
      <c r="G1" s="677"/>
      <c r="H1" s="555">
        <v>64</v>
      </c>
      <c r="J1" s="678"/>
      <c r="K1" s="678"/>
    </row>
    <row r="2" spans="5:8" ht="12.75" customHeight="1">
      <c r="E2" s="677"/>
      <c r="F2" s="677"/>
      <c r="G2" s="677"/>
      <c r="H2" s="555"/>
    </row>
    <row r="3" spans="2:13" ht="13.5" thickBot="1"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pans="2:13" ht="12.75" customHeight="1">
      <c r="B4" s="523" t="s">
        <v>140</v>
      </c>
      <c r="C4" s="521" t="s">
        <v>144</v>
      </c>
      <c r="D4" s="521" t="s">
        <v>139</v>
      </c>
      <c r="E4" s="231"/>
      <c r="F4" s="232"/>
      <c r="G4" s="232"/>
      <c r="K4" s="233"/>
      <c r="L4" s="539" t="s">
        <v>156</v>
      </c>
      <c r="M4" s="540"/>
    </row>
    <row r="5" spans="2:13" ht="12.75" customHeight="1">
      <c r="B5" s="523"/>
      <c r="C5" s="521"/>
      <c r="D5" s="521"/>
      <c r="E5" s="556" t="s">
        <v>152</v>
      </c>
      <c r="F5" s="557"/>
      <c r="G5" s="672" t="s">
        <v>287</v>
      </c>
      <c r="H5" s="235"/>
      <c r="I5" s="50" t="s">
        <v>170</v>
      </c>
      <c r="J5" s="147">
        <f>COUNTA(E8:E22)</f>
        <v>5</v>
      </c>
      <c r="L5" s="541"/>
      <c r="M5" s="542"/>
    </row>
    <row r="6" spans="2:13" ht="12.75" customHeight="1">
      <c r="B6" s="523"/>
      <c r="C6" s="521"/>
      <c r="D6" s="521"/>
      <c r="E6" s="558"/>
      <c r="F6" s="559"/>
      <c r="G6" s="561"/>
      <c r="I6" s="50" t="s">
        <v>171</v>
      </c>
      <c r="J6" s="147">
        <f>COUNTA(D8:D22)</f>
        <v>3</v>
      </c>
      <c r="L6" s="541"/>
      <c r="M6" s="542"/>
    </row>
    <row r="7" spans="2:13" ht="13.5" thickBot="1">
      <c r="B7" s="524"/>
      <c r="C7" s="522"/>
      <c r="D7" s="522"/>
      <c r="E7" s="218" t="s">
        <v>135</v>
      </c>
      <c r="F7" s="52" t="s">
        <v>148</v>
      </c>
      <c r="G7" s="52" t="s">
        <v>141</v>
      </c>
      <c r="H7" s="52" t="s">
        <v>142</v>
      </c>
      <c r="I7" s="52" t="s">
        <v>136</v>
      </c>
      <c r="J7" s="52" t="s">
        <v>137</v>
      </c>
      <c r="K7" s="52" t="s">
        <v>138</v>
      </c>
      <c r="L7" s="236"/>
      <c r="M7" s="52" t="s">
        <v>153</v>
      </c>
    </row>
    <row r="8" spans="1:13" ht="19.5" customHeight="1">
      <c r="A8" s="72">
        <v>1</v>
      </c>
      <c r="B8" s="419" t="s">
        <v>74</v>
      </c>
      <c r="C8" s="419"/>
      <c r="D8" s="419" t="s">
        <v>74</v>
      </c>
      <c r="E8" s="420" t="s">
        <v>275</v>
      </c>
      <c r="F8" s="421"/>
      <c r="G8" s="421"/>
      <c r="H8" s="421"/>
      <c r="I8" s="421"/>
      <c r="J8" s="421"/>
      <c r="K8" s="422"/>
      <c r="L8" s="237"/>
      <c r="M8" s="423"/>
    </row>
    <row r="9" spans="1:13" ht="19.5" customHeight="1">
      <c r="A9" s="72">
        <v>2</v>
      </c>
      <c r="B9" s="424"/>
      <c r="C9" s="425" t="s">
        <v>74</v>
      </c>
      <c r="D9" s="419"/>
      <c r="E9" s="420" t="s">
        <v>277</v>
      </c>
      <c r="F9" s="421"/>
      <c r="G9" s="421"/>
      <c r="H9" s="421"/>
      <c r="I9" s="421"/>
      <c r="J9" s="421"/>
      <c r="K9" s="422"/>
      <c r="L9" s="237"/>
      <c r="M9" s="421"/>
    </row>
    <row r="10" spans="1:13" ht="19.5" customHeight="1">
      <c r="A10" s="72">
        <v>3</v>
      </c>
      <c r="B10" s="424"/>
      <c r="C10" s="424"/>
      <c r="D10" s="419" t="s">
        <v>74</v>
      </c>
      <c r="E10" s="420" t="s">
        <v>278</v>
      </c>
      <c r="F10" s="421"/>
      <c r="G10" s="421"/>
      <c r="H10" s="421"/>
      <c r="I10" s="421"/>
      <c r="J10" s="421"/>
      <c r="K10" s="422"/>
      <c r="L10" s="237"/>
      <c r="M10" s="421"/>
    </row>
    <row r="11" spans="1:13" ht="19.5" customHeight="1">
      <c r="A11" s="72">
        <v>4</v>
      </c>
      <c r="B11" s="424"/>
      <c r="C11" s="424"/>
      <c r="D11" s="425" t="s">
        <v>74</v>
      </c>
      <c r="E11" s="420" t="s">
        <v>279</v>
      </c>
      <c r="F11" s="421"/>
      <c r="G11" s="421"/>
      <c r="H11" s="421"/>
      <c r="I11" s="421"/>
      <c r="J11" s="421"/>
      <c r="K11" s="422"/>
      <c r="L11" s="237"/>
      <c r="M11" s="421"/>
    </row>
    <row r="12" spans="1:13" ht="19.5" customHeight="1">
      <c r="A12" s="72">
        <v>5</v>
      </c>
      <c r="B12" s="424"/>
      <c r="C12" s="424"/>
      <c r="D12" s="425"/>
      <c r="E12" s="420" t="s">
        <v>281</v>
      </c>
      <c r="F12" s="425" t="s">
        <v>299</v>
      </c>
      <c r="G12" s="425" t="s">
        <v>300</v>
      </c>
      <c r="H12" s="424">
        <v>10023</v>
      </c>
      <c r="I12" s="425" t="s">
        <v>302</v>
      </c>
      <c r="J12" s="425" t="s">
        <v>301</v>
      </c>
      <c r="K12" s="436" t="s">
        <v>303</v>
      </c>
      <c r="L12" s="437"/>
      <c r="M12" s="424"/>
    </row>
    <row r="13" spans="1:13" ht="19.5" customHeight="1">
      <c r="A13" s="72">
        <v>6</v>
      </c>
      <c r="B13" s="424"/>
      <c r="C13" s="425"/>
      <c r="D13" s="425"/>
      <c r="E13" s="420"/>
      <c r="F13" s="421"/>
      <c r="G13" s="421"/>
      <c r="H13" s="421"/>
      <c r="I13" s="421"/>
      <c r="J13" s="421"/>
      <c r="K13" s="422"/>
      <c r="L13" s="237"/>
      <c r="M13" s="426"/>
    </row>
    <row r="14" spans="1:13" ht="19.5" customHeight="1">
      <c r="A14" s="72">
        <v>7</v>
      </c>
      <c r="B14" s="424"/>
      <c r="C14" s="424"/>
      <c r="D14" s="424"/>
      <c r="E14" s="420"/>
      <c r="F14" s="421"/>
      <c r="G14" s="421"/>
      <c r="H14" s="421"/>
      <c r="I14" s="421"/>
      <c r="J14" s="421"/>
      <c r="K14" s="422"/>
      <c r="L14" s="237"/>
      <c r="M14" s="421"/>
    </row>
    <row r="15" spans="1:13" ht="19.5" customHeight="1">
      <c r="A15" s="72">
        <v>8</v>
      </c>
      <c r="B15" s="424"/>
      <c r="C15" s="424"/>
      <c r="D15" s="424"/>
      <c r="E15" s="420"/>
      <c r="F15" s="421"/>
      <c r="G15" s="421"/>
      <c r="H15" s="421"/>
      <c r="I15" s="421"/>
      <c r="J15" s="421"/>
      <c r="K15" s="427"/>
      <c r="L15" s="239"/>
      <c r="M15" s="421"/>
    </row>
    <row r="16" spans="1:13" ht="19.5" customHeight="1">
      <c r="A16" s="72">
        <v>9</v>
      </c>
      <c r="B16" s="424"/>
      <c r="C16" s="424"/>
      <c r="D16" s="424"/>
      <c r="E16" s="420"/>
      <c r="F16" s="421"/>
      <c r="G16" s="421"/>
      <c r="H16" s="421"/>
      <c r="I16" s="421"/>
      <c r="J16" s="421"/>
      <c r="K16" s="427"/>
      <c r="L16" s="239"/>
      <c r="M16" s="421"/>
    </row>
    <row r="17" spans="1:13" ht="19.5" customHeight="1">
      <c r="A17" s="72">
        <v>10</v>
      </c>
      <c r="B17" s="424"/>
      <c r="C17" s="424"/>
      <c r="D17" s="424"/>
      <c r="E17" s="420"/>
      <c r="F17" s="421"/>
      <c r="G17" s="421"/>
      <c r="H17" s="421"/>
      <c r="I17" s="421"/>
      <c r="J17" s="421"/>
      <c r="K17" s="427"/>
      <c r="L17" s="239"/>
      <c r="M17" s="421"/>
    </row>
    <row r="18" spans="1:13" ht="19.5" customHeight="1">
      <c r="A18" s="72">
        <v>11</v>
      </c>
      <c r="B18" s="424"/>
      <c r="C18" s="424"/>
      <c r="D18" s="424"/>
      <c r="E18" s="420"/>
      <c r="F18" s="421"/>
      <c r="G18" s="421"/>
      <c r="H18" s="421"/>
      <c r="I18" s="421"/>
      <c r="J18" s="421"/>
      <c r="K18" s="427"/>
      <c r="L18" s="239"/>
      <c r="M18" s="421"/>
    </row>
    <row r="19" spans="1:13" ht="19.5" customHeight="1">
      <c r="A19" s="72">
        <v>12</v>
      </c>
      <c r="B19" s="424"/>
      <c r="C19" s="424"/>
      <c r="D19" s="424"/>
      <c r="E19" s="420"/>
      <c r="F19" s="421"/>
      <c r="G19" s="421"/>
      <c r="H19" s="421"/>
      <c r="I19" s="421"/>
      <c r="J19" s="421"/>
      <c r="K19" s="427"/>
      <c r="L19" s="239"/>
      <c r="M19" s="421"/>
    </row>
    <row r="20" spans="1:13" ht="19.5" customHeight="1">
      <c r="A20" s="72">
        <v>13</v>
      </c>
      <c r="B20" s="424"/>
      <c r="C20" s="424"/>
      <c r="D20" s="424"/>
      <c r="E20" s="420"/>
      <c r="F20" s="421"/>
      <c r="G20" s="421"/>
      <c r="H20" s="421"/>
      <c r="I20" s="421"/>
      <c r="J20" s="421"/>
      <c r="K20" s="427"/>
      <c r="L20" s="239"/>
      <c r="M20" s="421"/>
    </row>
    <row r="21" spans="1:13" ht="19.5" customHeight="1">
      <c r="A21" s="72">
        <v>14</v>
      </c>
      <c r="B21" s="424"/>
      <c r="C21" s="424"/>
      <c r="D21" s="424"/>
      <c r="E21" s="420"/>
      <c r="F21" s="421"/>
      <c r="G21" s="421"/>
      <c r="H21" s="421"/>
      <c r="I21" s="421"/>
      <c r="J21" s="421"/>
      <c r="K21" s="427"/>
      <c r="L21" s="239"/>
      <c r="M21" s="426"/>
    </row>
    <row r="22" spans="1:13" ht="19.5" customHeight="1" thickBot="1">
      <c r="A22" s="72">
        <v>15</v>
      </c>
      <c r="B22" s="428"/>
      <c r="C22" s="428"/>
      <c r="D22" s="428"/>
      <c r="E22" s="429"/>
      <c r="F22" s="430"/>
      <c r="G22" s="430"/>
      <c r="H22" s="430"/>
      <c r="I22" s="430"/>
      <c r="J22" s="430"/>
      <c r="K22" s="431"/>
      <c r="L22" s="240"/>
      <c r="M22" s="430"/>
    </row>
    <row r="23" spans="1:13" ht="19.5" customHeight="1">
      <c r="A23" s="353"/>
      <c r="B23" s="354"/>
      <c r="C23" s="241"/>
      <c r="D23" s="241"/>
      <c r="E23" s="548" t="s">
        <v>158</v>
      </c>
      <c r="F23" s="548"/>
      <c r="G23" s="548"/>
      <c r="H23" s="546" t="s">
        <v>287</v>
      </c>
      <c r="I23" s="546"/>
      <c r="J23" s="241"/>
      <c r="K23" s="241"/>
      <c r="L23" s="241"/>
      <c r="M23" s="242"/>
    </row>
    <row r="24" spans="2:13" ht="18" customHeight="1" thickBot="1">
      <c r="B24" s="247"/>
      <c r="C24" s="228"/>
      <c r="D24" s="228"/>
      <c r="E24" s="549"/>
      <c r="F24" s="549"/>
      <c r="G24" s="549"/>
      <c r="H24" s="547"/>
      <c r="I24" s="547"/>
      <c r="J24" s="228"/>
      <c r="K24" s="228"/>
      <c r="L24" s="550" t="s">
        <v>164</v>
      </c>
      <c r="M24" s="551"/>
    </row>
    <row r="25" spans="1:13" ht="17.25" customHeight="1">
      <c r="A25" s="72">
        <v>1</v>
      </c>
      <c r="B25" s="423"/>
      <c r="C25" s="423"/>
      <c r="D25" s="423"/>
      <c r="E25" s="432" t="s">
        <v>282</v>
      </c>
      <c r="F25" s="423"/>
      <c r="G25" s="423"/>
      <c r="H25" s="423"/>
      <c r="I25" s="423"/>
      <c r="J25" s="423"/>
      <c r="K25" s="433"/>
      <c r="L25" s="675">
        <v>41143</v>
      </c>
      <c r="M25" s="676"/>
    </row>
    <row r="26" spans="1:13" ht="17.25" customHeight="1">
      <c r="A26" s="72">
        <v>2</v>
      </c>
      <c r="B26" s="421"/>
      <c r="C26" s="421"/>
      <c r="D26" s="421"/>
      <c r="E26" s="420"/>
      <c r="F26" s="421"/>
      <c r="G26" s="421"/>
      <c r="H26" s="421"/>
      <c r="I26" s="421"/>
      <c r="J26" s="421"/>
      <c r="K26" s="434"/>
      <c r="L26" s="673"/>
      <c r="M26" s="674"/>
    </row>
    <row r="27" spans="1:13" ht="17.25" customHeight="1">
      <c r="A27" s="72">
        <v>3</v>
      </c>
      <c r="B27" s="421"/>
      <c r="C27" s="421"/>
      <c r="D27" s="421"/>
      <c r="E27" s="420"/>
      <c r="F27" s="421"/>
      <c r="G27" s="421"/>
      <c r="H27" s="421"/>
      <c r="I27" s="421"/>
      <c r="J27" s="421"/>
      <c r="K27" s="434"/>
      <c r="L27" s="673"/>
      <c r="M27" s="674"/>
    </row>
    <row r="28" spans="1:13" ht="17.25" customHeight="1">
      <c r="A28" s="72">
        <v>4</v>
      </c>
      <c r="B28" s="421"/>
      <c r="C28" s="421"/>
      <c r="D28" s="421"/>
      <c r="E28" s="420"/>
      <c r="F28" s="421"/>
      <c r="G28" s="421"/>
      <c r="H28" s="421"/>
      <c r="I28" s="421"/>
      <c r="J28" s="421"/>
      <c r="K28" s="434"/>
      <c r="L28" s="673"/>
      <c r="M28" s="674"/>
    </row>
    <row r="29" spans="1:13" ht="17.25" customHeight="1">
      <c r="A29" s="72">
        <v>5</v>
      </c>
      <c r="B29" s="421"/>
      <c r="C29" s="421"/>
      <c r="D29" s="421"/>
      <c r="E29" s="420"/>
      <c r="F29" s="421"/>
      <c r="G29" s="421"/>
      <c r="H29" s="421"/>
      <c r="I29" s="421"/>
      <c r="J29" s="421"/>
      <c r="K29" s="434"/>
      <c r="L29" s="673"/>
      <c r="M29" s="674"/>
    </row>
    <row r="30" ht="13.5" thickBot="1"/>
    <row r="31" spans="5:13" ht="12.75">
      <c r="E31" s="245" t="s">
        <v>145</v>
      </c>
      <c r="F31" s="189"/>
      <c r="G31" s="246"/>
      <c r="J31" s="245" t="s">
        <v>143</v>
      </c>
      <c r="K31" s="189"/>
      <c r="L31" s="189"/>
      <c r="M31" s="246"/>
    </row>
    <row r="32" spans="5:13" ht="12.75">
      <c r="E32" s="190" t="s">
        <v>146</v>
      </c>
      <c r="F32" s="666" t="s">
        <v>288</v>
      </c>
      <c r="G32" s="668"/>
      <c r="I32" s="54"/>
      <c r="J32" s="190" t="s">
        <v>182</v>
      </c>
      <c r="K32" s="666" t="s">
        <v>292</v>
      </c>
      <c r="L32" s="667"/>
      <c r="M32" s="668"/>
    </row>
    <row r="33" spans="5:13" ht="12.75">
      <c r="E33" s="190" t="s">
        <v>147</v>
      </c>
      <c r="F33" s="669" t="s">
        <v>289</v>
      </c>
      <c r="G33" s="671"/>
      <c r="I33" s="54"/>
      <c r="J33" s="190" t="s">
        <v>183</v>
      </c>
      <c r="K33" s="669" t="s">
        <v>293</v>
      </c>
      <c r="L33" s="670"/>
      <c r="M33" s="671"/>
    </row>
    <row r="34" spans="5:13" ht="12.75">
      <c r="E34" s="190" t="s">
        <v>149</v>
      </c>
      <c r="F34" s="669" t="s">
        <v>291</v>
      </c>
      <c r="G34" s="671"/>
      <c r="I34" s="54"/>
      <c r="J34" s="190"/>
      <c r="K34" s="669" t="s">
        <v>296</v>
      </c>
      <c r="L34" s="670"/>
      <c r="M34" s="671"/>
    </row>
    <row r="35" spans="5:13" ht="12.75">
      <c r="E35" s="190" t="s">
        <v>150</v>
      </c>
      <c r="F35" s="669" t="s">
        <v>290</v>
      </c>
      <c r="G35" s="671"/>
      <c r="I35" s="54"/>
      <c r="J35" s="190" t="s">
        <v>184</v>
      </c>
      <c r="K35" s="669" t="s">
        <v>294</v>
      </c>
      <c r="L35" s="670"/>
      <c r="M35" s="671"/>
    </row>
    <row r="36" spans="5:13" ht="12.75">
      <c r="E36" s="190" t="s">
        <v>181</v>
      </c>
      <c r="F36" s="669" t="s">
        <v>15</v>
      </c>
      <c r="G36" s="671"/>
      <c r="I36" s="54"/>
      <c r="J36" s="190"/>
      <c r="K36" s="669" t="s">
        <v>295</v>
      </c>
      <c r="L36" s="670"/>
      <c r="M36" s="671"/>
    </row>
    <row r="37" spans="5:13" ht="12.75">
      <c r="E37" s="190"/>
      <c r="F37" s="31"/>
      <c r="G37" s="191" t="s">
        <v>100</v>
      </c>
      <c r="I37" s="54"/>
      <c r="J37" s="190"/>
      <c r="K37" s="669" t="s">
        <v>297</v>
      </c>
      <c r="L37" s="670"/>
      <c r="M37" s="671"/>
    </row>
    <row r="38" spans="5:13" ht="13.5" thickBot="1">
      <c r="E38" s="247"/>
      <c r="F38" s="228"/>
      <c r="G38" s="248"/>
      <c r="I38" s="54"/>
      <c r="J38" s="247"/>
      <c r="K38" s="228"/>
      <c r="L38" s="228"/>
      <c r="M38" s="248"/>
    </row>
    <row r="39" ht="12.75">
      <c r="I39" s="54"/>
    </row>
    <row r="40" ht="12.75">
      <c r="I40" s="54"/>
    </row>
    <row r="41" ht="12.75">
      <c r="I41" s="54"/>
    </row>
    <row r="47" ht="12.75">
      <c r="K47" s="4" t="s">
        <v>185</v>
      </c>
    </row>
  </sheetData>
  <sheetProtection password="E4A4" sheet="1" objects="1" scenarios="1" selectLockedCells="1"/>
  <mergeCells count="28">
    <mergeCell ref="F32:G32"/>
    <mergeCell ref="E1:G2"/>
    <mergeCell ref="H1:H2"/>
    <mergeCell ref="J1:K1"/>
    <mergeCell ref="L29:M29"/>
    <mergeCell ref="B4:B7"/>
    <mergeCell ref="C4:C7"/>
    <mergeCell ref="D4:D7"/>
    <mergeCell ref="E23:G24"/>
    <mergeCell ref="H23:I24"/>
    <mergeCell ref="L4:M6"/>
    <mergeCell ref="E5:F6"/>
    <mergeCell ref="G5:G6"/>
    <mergeCell ref="L27:M27"/>
    <mergeCell ref="L28:M28"/>
    <mergeCell ref="L25:M25"/>
    <mergeCell ref="L26:M26"/>
    <mergeCell ref="L24:M24"/>
    <mergeCell ref="K32:M32"/>
    <mergeCell ref="K37:M37"/>
    <mergeCell ref="F34:G34"/>
    <mergeCell ref="K34:M34"/>
    <mergeCell ref="F35:G35"/>
    <mergeCell ref="K35:M35"/>
    <mergeCell ref="F36:G36"/>
    <mergeCell ref="K36:M36"/>
    <mergeCell ref="F33:G33"/>
    <mergeCell ref="K33:M33"/>
  </mergeCells>
  <hyperlinks>
    <hyperlink ref="K12" r:id="rId1" display="YokoO@gmail.com"/>
  </hyperlinks>
  <printOptions horizontalCentered="1" verticalCentered="1"/>
  <pageMargins left="0.2" right="0.2" top="0.47" bottom="0.19" header="0.27" footer="0.17"/>
  <pageSetup fitToHeight="1" fitToWidth="1" horizontalDpi="600" verticalDpi="600" orientation="landscape" scale="78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showGridLines="0" zoomScalePageLayoutView="0" workbookViewId="0" topLeftCell="A2">
      <selection activeCell="B12" sqref="B12"/>
    </sheetView>
  </sheetViews>
  <sheetFormatPr defaultColWidth="9.140625" defaultRowHeight="12.75"/>
  <cols>
    <col min="1" max="1" width="4.00390625" style="45" customWidth="1"/>
    <col min="2" max="2" width="16.28125" style="4" customWidth="1"/>
    <col min="3" max="33" width="3.140625" style="4" customWidth="1"/>
    <col min="34" max="34" width="5.7109375" style="4" customWidth="1"/>
    <col min="35" max="36" width="5.7109375" style="45" customWidth="1"/>
    <col min="37" max="37" width="0.71875" style="4" customWidth="1"/>
    <col min="38" max="38" width="9.8515625" style="45" customWidth="1"/>
    <col min="39" max="39" width="8.7109375" style="45" customWidth="1"/>
    <col min="40" max="40" width="9.8515625" style="45" customWidth="1"/>
    <col min="41" max="16384" width="9.140625" style="4" customWidth="1"/>
  </cols>
  <sheetData>
    <row r="1" spans="3:33" ht="12.75" hidden="1">
      <c r="C1" s="4">
        <v>0</v>
      </c>
      <c r="D1" s="4">
        <v>0</v>
      </c>
      <c r="E1" s="4">
        <v>0</v>
      </c>
      <c r="F1" s="4">
        <v>0</v>
      </c>
      <c r="G1" s="4">
        <v>0</v>
      </c>
      <c r="H1" s="4">
        <v>0</v>
      </c>
      <c r="I1" s="4">
        <v>0</v>
      </c>
      <c r="J1" s="4">
        <v>0</v>
      </c>
      <c r="K1" s="4">
        <v>0</v>
      </c>
      <c r="L1" s="4">
        <v>0</v>
      </c>
      <c r="M1" s="4">
        <v>0</v>
      </c>
      <c r="N1" s="4">
        <v>0</v>
      </c>
      <c r="O1" s="4">
        <v>0</v>
      </c>
      <c r="P1" s="4">
        <v>0</v>
      </c>
      <c r="Q1" s="4">
        <v>0</v>
      </c>
      <c r="R1" s="4">
        <v>0</v>
      </c>
      <c r="S1" s="4">
        <v>0</v>
      </c>
      <c r="T1" s="4">
        <v>0</v>
      </c>
      <c r="U1" s="4">
        <v>0</v>
      </c>
      <c r="V1" s="4">
        <v>0</v>
      </c>
      <c r="W1" s="4">
        <v>0</v>
      </c>
      <c r="X1" s="4">
        <v>0</v>
      </c>
      <c r="Y1" s="4">
        <v>0</v>
      </c>
      <c r="Z1" s="4">
        <v>0</v>
      </c>
      <c r="AA1" s="4">
        <v>0</v>
      </c>
      <c r="AB1" s="4">
        <v>0</v>
      </c>
      <c r="AC1" s="4">
        <v>0</v>
      </c>
      <c r="AD1" s="4">
        <v>0</v>
      </c>
      <c r="AE1" s="4">
        <v>0</v>
      </c>
      <c r="AF1" s="4">
        <v>0</v>
      </c>
      <c r="AG1" s="4">
        <v>0</v>
      </c>
    </row>
    <row r="2" spans="1:40" ht="18.75">
      <c r="A2" s="36"/>
      <c r="B2" s="37"/>
      <c r="C2" s="37"/>
      <c r="D2" s="38"/>
      <c r="E2" s="38"/>
      <c r="F2" s="38"/>
      <c r="G2" s="38"/>
      <c r="H2" s="38"/>
      <c r="I2" s="38"/>
      <c r="J2" s="38"/>
      <c r="K2" s="38"/>
      <c r="L2" s="38"/>
      <c r="M2" s="39"/>
      <c r="O2" s="562" t="s">
        <v>192</v>
      </c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  <c r="AD2" s="562"/>
      <c r="AE2" s="562"/>
      <c r="AH2" s="40" t="s">
        <v>1</v>
      </c>
      <c r="AI2" s="41"/>
      <c r="AJ2" s="42"/>
      <c r="AK2" s="43"/>
      <c r="AL2" s="42"/>
      <c r="AM2" s="42"/>
      <c r="AN2" s="42"/>
    </row>
    <row r="3" spans="2:40" ht="12.75" customHeight="1">
      <c r="B3" s="578" t="s">
        <v>128</v>
      </c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3" t="s">
        <v>274</v>
      </c>
      <c r="N3" s="573"/>
      <c r="O3" s="573"/>
      <c r="P3" s="573"/>
      <c r="Q3" s="573"/>
      <c r="R3" s="573"/>
      <c r="S3" s="573"/>
      <c r="T3" s="573"/>
      <c r="U3" s="573"/>
      <c r="W3" s="566" t="s">
        <v>88</v>
      </c>
      <c r="X3" s="566"/>
      <c r="Y3" s="566"/>
      <c r="Z3" s="566"/>
      <c r="AA3" s="566"/>
      <c r="AB3" s="566"/>
      <c r="AC3" s="566"/>
      <c r="AD3" s="567">
        <v>5</v>
      </c>
      <c r="AE3" s="567"/>
      <c r="AH3" s="574" t="s">
        <v>46</v>
      </c>
      <c r="AI3" s="588" t="s">
        <v>47</v>
      </c>
      <c r="AJ3" s="574" t="s">
        <v>48</v>
      </c>
      <c r="AK3" s="46"/>
      <c r="AL3" s="574" t="s">
        <v>49</v>
      </c>
      <c r="AM3" s="588" t="s">
        <v>50</v>
      </c>
      <c r="AN3" s="574" t="s">
        <v>51</v>
      </c>
    </row>
    <row r="4" spans="2:40" ht="12.75" customHeight="1"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3"/>
      <c r="N4" s="573"/>
      <c r="O4" s="573"/>
      <c r="P4" s="573"/>
      <c r="Q4" s="573"/>
      <c r="R4" s="573"/>
      <c r="S4" s="573"/>
      <c r="T4" s="573"/>
      <c r="U4" s="573"/>
      <c r="W4" s="566"/>
      <c r="X4" s="566"/>
      <c r="Y4" s="566"/>
      <c r="Z4" s="566"/>
      <c r="AA4" s="566"/>
      <c r="AB4" s="566"/>
      <c r="AC4" s="566"/>
      <c r="AD4" s="567"/>
      <c r="AE4" s="567"/>
      <c r="AH4" s="575"/>
      <c r="AI4" s="589"/>
      <c r="AJ4" s="575"/>
      <c r="AK4" s="46"/>
      <c r="AL4" s="575"/>
      <c r="AM4" s="589"/>
      <c r="AN4" s="575"/>
    </row>
    <row r="5" spans="2:40" ht="12.75" customHeight="1">
      <c r="B5" s="579" t="s">
        <v>129</v>
      </c>
      <c r="C5" s="579"/>
      <c r="D5" s="51"/>
      <c r="E5" s="51"/>
      <c r="F5" s="51"/>
      <c r="G5" s="51"/>
      <c r="H5" s="51"/>
      <c r="I5" s="51"/>
      <c r="J5" s="51"/>
      <c r="K5" s="51"/>
      <c r="L5" s="51"/>
      <c r="M5" s="566" t="s">
        <v>191</v>
      </c>
      <c r="N5" s="564"/>
      <c r="O5" s="564"/>
      <c r="P5" s="564"/>
      <c r="Q5" s="564"/>
      <c r="R5" s="564"/>
      <c r="S5" s="564"/>
      <c r="T5" s="564"/>
      <c r="U5" s="563" t="s">
        <v>298</v>
      </c>
      <c r="V5" s="564"/>
      <c r="X5" s="566" t="s">
        <v>190</v>
      </c>
      <c r="Y5" s="564"/>
      <c r="Z5" s="564"/>
      <c r="AA5" s="564"/>
      <c r="AB5" s="564"/>
      <c r="AC5" s="564"/>
      <c r="AD5" s="577">
        <v>2083</v>
      </c>
      <c r="AE5" s="564"/>
      <c r="AF5" s="48"/>
      <c r="AH5" s="575"/>
      <c r="AI5" s="589"/>
      <c r="AJ5" s="575"/>
      <c r="AK5" s="46"/>
      <c r="AL5" s="575"/>
      <c r="AM5" s="589"/>
      <c r="AN5" s="575"/>
    </row>
    <row r="6" spans="2:40" ht="12.75" customHeight="1">
      <c r="B6" s="580"/>
      <c r="C6" s="580"/>
      <c r="D6" s="201"/>
      <c r="E6" s="201"/>
      <c r="F6" s="201"/>
      <c r="G6" s="201"/>
      <c r="H6" s="201"/>
      <c r="I6" s="201"/>
      <c r="J6" s="201"/>
      <c r="K6" s="201"/>
      <c r="L6" s="201"/>
      <c r="M6" s="565"/>
      <c r="N6" s="565"/>
      <c r="O6" s="565"/>
      <c r="P6" s="565"/>
      <c r="Q6" s="565"/>
      <c r="R6" s="565"/>
      <c r="S6" s="565"/>
      <c r="T6" s="565"/>
      <c r="U6" s="565"/>
      <c r="V6" s="565"/>
      <c r="W6" s="125"/>
      <c r="X6" s="565"/>
      <c r="Y6" s="565"/>
      <c r="Z6" s="565"/>
      <c r="AA6" s="565"/>
      <c r="AB6" s="565"/>
      <c r="AC6" s="565"/>
      <c r="AD6" s="565"/>
      <c r="AE6" s="565"/>
      <c r="AF6" s="125"/>
      <c r="AG6" s="157"/>
      <c r="AH6" s="575"/>
      <c r="AI6" s="589"/>
      <c r="AJ6" s="575"/>
      <c r="AK6" s="46"/>
      <c r="AL6" s="575"/>
      <c r="AM6" s="589"/>
      <c r="AN6" s="575"/>
    </row>
    <row r="7" spans="1:40" ht="13.5" thickBot="1">
      <c r="A7" s="174"/>
      <c r="B7" s="173" t="s">
        <v>89</v>
      </c>
      <c r="C7" s="70">
        <v>1</v>
      </c>
      <c r="D7" s="70">
        <v>2</v>
      </c>
      <c r="E7" s="70">
        <v>3</v>
      </c>
      <c r="F7" s="70">
        <v>4</v>
      </c>
      <c r="G7" s="70">
        <v>5</v>
      </c>
      <c r="H7" s="70">
        <v>6</v>
      </c>
      <c r="I7" s="70">
        <v>7</v>
      </c>
      <c r="J7" s="70">
        <v>8</v>
      </c>
      <c r="K7" s="70">
        <v>9</v>
      </c>
      <c r="L7" s="70">
        <v>10</v>
      </c>
      <c r="M7" s="70">
        <v>11</v>
      </c>
      <c r="N7" s="70">
        <v>12</v>
      </c>
      <c r="O7" s="70">
        <v>13</v>
      </c>
      <c r="P7" s="70">
        <v>14</v>
      </c>
      <c r="Q7" s="70">
        <v>15</v>
      </c>
      <c r="R7" s="70">
        <v>16</v>
      </c>
      <c r="S7" s="70">
        <v>17</v>
      </c>
      <c r="T7" s="70">
        <v>18</v>
      </c>
      <c r="U7" s="70">
        <v>19</v>
      </c>
      <c r="V7" s="70">
        <v>20</v>
      </c>
      <c r="W7" s="70">
        <v>21</v>
      </c>
      <c r="X7" s="70">
        <v>22</v>
      </c>
      <c r="Y7" s="70">
        <v>23</v>
      </c>
      <c r="Z7" s="70">
        <v>24</v>
      </c>
      <c r="AA7" s="70">
        <v>25</v>
      </c>
      <c r="AB7" s="70">
        <v>26</v>
      </c>
      <c r="AC7" s="70">
        <v>27</v>
      </c>
      <c r="AD7" s="70">
        <v>28</v>
      </c>
      <c r="AE7" s="70">
        <v>29</v>
      </c>
      <c r="AF7" s="70">
        <v>30</v>
      </c>
      <c r="AG7" s="70">
        <v>31</v>
      </c>
      <c r="AH7" s="576"/>
      <c r="AI7" s="590"/>
      <c r="AJ7" s="576"/>
      <c r="AK7" s="46"/>
      <c r="AL7" s="576"/>
      <c r="AM7" s="590"/>
      <c r="AN7" s="576"/>
    </row>
    <row r="8" spans="1:40" ht="18" customHeight="1" thickTop="1">
      <c r="A8" s="71">
        <v>1</v>
      </c>
      <c r="B8" s="488" t="s">
        <v>275</v>
      </c>
      <c r="C8" s="399" t="s">
        <v>98</v>
      </c>
      <c r="D8" s="399" t="s">
        <v>98</v>
      </c>
      <c r="E8" s="399" t="s">
        <v>73</v>
      </c>
      <c r="F8" s="399" t="s">
        <v>276</v>
      </c>
      <c r="G8" s="399" t="s">
        <v>276</v>
      </c>
      <c r="H8" s="400"/>
      <c r="I8" s="400"/>
      <c r="J8" s="399" t="s">
        <v>74</v>
      </c>
      <c r="K8" s="399" t="s">
        <v>98</v>
      </c>
      <c r="L8" s="399" t="s">
        <v>98</v>
      </c>
      <c r="M8" s="399" t="s">
        <v>74</v>
      </c>
      <c r="N8" s="399" t="s">
        <v>74</v>
      </c>
      <c r="O8" s="400"/>
      <c r="P8" s="400"/>
      <c r="Q8" s="399" t="s">
        <v>98</v>
      </c>
      <c r="R8" s="399" t="s">
        <v>98</v>
      </c>
      <c r="S8" s="399" t="s">
        <v>98</v>
      </c>
      <c r="T8" s="399" t="s">
        <v>74</v>
      </c>
      <c r="U8" s="399" t="s">
        <v>74</v>
      </c>
      <c r="V8" s="400"/>
      <c r="W8" s="400"/>
      <c r="X8" s="399" t="s">
        <v>74</v>
      </c>
      <c r="Y8" s="399" t="s">
        <v>74</v>
      </c>
      <c r="Z8" s="399" t="s">
        <v>98</v>
      </c>
      <c r="AA8" s="399" t="s">
        <v>186</v>
      </c>
      <c r="AB8" s="399" t="s">
        <v>74</v>
      </c>
      <c r="AC8" s="400"/>
      <c r="AD8" s="400"/>
      <c r="AE8" s="399" t="s">
        <v>74</v>
      </c>
      <c r="AF8" s="399" t="s">
        <v>98</v>
      </c>
      <c r="AG8" s="399" t="s">
        <v>74</v>
      </c>
      <c r="AH8" s="81">
        <v>20</v>
      </c>
      <c r="AI8" s="81">
        <v>1</v>
      </c>
      <c r="AJ8" s="249">
        <v>10</v>
      </c>
      <c r="AL8" s="411"/>
      <c r="AM8" s="411"/>
      <c r="AN8" s="411"/>
    </row>
    <row r="9" spans="1:40" ht="18" customHeight="1">
      <c r="A9" s="72">
        <v>2</v>
      </c>
      <c r="B9" s="488" t="s">
        <v>277</v>
      </c>
      <c r="C9" s="399" t="s">
        <v>74</v>
      </c>
      <c r="D9" s="399" t="s">
        <v>74</v>
      </c>
      <c r="E9" s="399" t="s">
        <v>186</v>
      </c>
      <c r="F9" s="399" t="s">
        <v>98</v>
      </c>
      <c r="G9" s="399" t="s">
        <v>98</v>
      </c>
      <c r="H9" s="400"/>
      <c r="I9" s="400"/>
      <c r="J9" s="399" t="s">
        <v>98</v>
      </c>
      <c r="K9" s="399" t="s">
        <v>74</v>
      </c>
      <c r="L9" s="399" t="s">
        <v>74</v>
      </c>
      <c r="M9" s="399" t="s">
        <v>98</v>
      </c>
      <c r="N9" s="399" t="s">
        <v>74</v>
      </c>
      <c r="O9" s="401"/>
      <c r="P9" s="401"/>
      <c r="Q9" s="399" t="s">
        <v>74</v>
      </c>
      <c r="R9" s="399" t="s">
        <v>276</v>
      </c>
      <c r="S9" s="399" t="s">
        <v>74</v>
      </c>
      <c r="T9" s="399" t="s">
        <v>98</v>
      </c>
      <c r="U9" s="399" t="s">
        <v>98</v>
      </c>
      <c r="V9" s="401"/>
      <c r="W9" s="401"/>
      <c r="X9" s="399" t="s">
        <v>74</v>
      </c>
      <c r="Y9" s="399" t="s">
        <v>98</v>
      </c>
      <c r="Z9" s="399" t="s">
        <v>74</v>
      </c>
      <c r="AA9" s="399" t="s">
        <v>186</v>
      </c>
      <c r="AB9" s="399" t="s">
        <v>98</v>
      </c>
      <c r="AC9" s="401"/>
      <c r="AD9" s="401"/>
      <c r="AE9" s="399" t="s">
        <v>186</v>
      </c>
      <c r="AF9" s="399" t="s">
        <v>74</v>
      </c>
      <c r="AG9" s="399" t="s">
        <v>98</v>
      </c>
      <c r="AH9" s="81">
        <v>22</v>
      </c>
      <c r="AI9" s="81"/>
      <c r="AJ9" s="249">
        <v>10.5</v>
      </c>
      <c r="AL9" s="412"/>
      <c r="AM9" s="412"/>
      <c r="AN9" s="412"/>
    </row>
    <row r="10" spans="1:40" ht="18" customHeight="1">
      <c r="A10" s="72">
        <v>3</v>
      </c>
      <c r="B10" s="488" t="s">
        <v>278</v>
      </c>
      <c r="C10" s="399" t="s">
        <v>276</v>
      </c>
      <c r="D10" s="399" t="s">
        <v>74</v>
      </c>
      <c r="E10" s="399" t="s">
        <v>74</v>
      </c>
      <c r="F10" s="399" t="s">
        <v>74</v>
      </c>
      <c r="G10" s="399" t="s">
        <v>74</v>
      </c>
      <c r="H10" s="400"/>
      <c r="I10" s="400"/>
      <c r="J10" s="399" t="s">
        <v>74</v>
      </c>
      <c r="K10" s="399" t="s">
        <v>74</v>
      </c>
      <c r="L10" s="399" t="s">
        <v>74</v>
      </c>
      <c r="M10" s="399" t="s">
        <v>74</v>
      </c>
      <c r="N10" s="399" t="s">
        <v>98</v>
      </c>
      <c r="O10" s="401"/>
      <c r="P10" s="401"/>
      <c r="Q10" s="399" t="s">
        <v>74</v>
      </c>
      <c r="R10" s="399" t="s">
        <v>74</v>
      </c>
      <c r="S10" s="399" t="s">
        <v>74</v>
      </c>
      <c r="T10" s="399" t="s">
        <v>74</v>
      </c>
      <c r="U10" s="399" t="s">
        <v>74</v>
      </c>
      <c r="V10" s="401"/>
      <c r="W10" s="401"/>
      <c r="X10" s="399" t="s">
        <v>98</v>
      </c>
      <c r="Y10" s="399" t="s">
        <v>74</v>
      </c>
      <c r="Z10" s="399" t="s">
        <v>276</v>
      </c>
      <c r="AA10" s="399" t="s">
        <v>276</v>
      </c>
      <c r="AB10" s="399" t="s">
        <v>276</v>
      </c>
      <c r="AC10" s="401"/>
      <c r="AD10" s="401"/>
      <c r="AE10" s="399" t="s">
        <v>186</v>
      </c>
      <c r="AF10" s="399" t="s">
        <v>74</v>
      </c>
      <c r="AG10" s="399" t="s">
        <v>74</v>
      </c>
      <c r="AH10" s="81">
        <v>19</v>
      </c>
      <c r="AI10" s="81"/>
      <c r="AJ10" s="249">
        <v>2.5</v>
      </c>
      <c r="AL10" s="412"/>
      <c r="AM10" s="412"/>
      <c r="AN10" s="412"/>
    </row>
    <row r="11" spans="1:40" ht="18" customHeight="1">
      <c r="A11" s="72">
        <v>4</v>
      </c>
      <c r="B11" s="488" t="s">
        <v>279</v>
      </c>
      <c r="C11" s="399" t="s">
        <v>74</v>
      </c>
      <c r="D11" s="399" t="s">
        <v>74</v>
      </c>
      <c r="E11" s="399" t="s">
        <v>74</v>
      </c>
      <c r="F11" s="399" t="s">
        <v>74</v>
      </c>
      <c r="G11" s="399" t="s">
        <v>74</v>
      </c>
      <c r="H11" s="400"/>
      <c r="I11" s="400"/>
      <c r="J11" s="399" t="s">
        <v>74</v>
      </c>
      <c r="K11" s="399" t="s">
        <v>74</v>
      </c>
      <c r="L11" s="399" t="s">
        <v>276</v>
      </c>
      <c r="M11" s="399" t="s">
        <v>74</v>
      </c>
      <c r="N11" s="399" t="s">
        <v>74</v>
      </c>
      <c r="O11" s="401"/>
      <c r="P11" s="401"/>
      <c r="Q11" s="399" t="s">
        <v>74</v>
      </c>
      <c r="R11" s="399" t="s">
        <v>74</v>
      </c>
      <c r="S11" s="399" t="s">
        <v>276</v>
      </c>
      <c r="T11" s="399" t="s">
        <v>74</v>
      </c>
      <c r="U11" s="399" t="s">
        <v>194</v>
      </c>
      <c r="V11" s="401"/>
      <c r="W11" s="401"/>
      <c r="X11" s="399" t="s">
        <v>276</v>
      </c>
      <c r="Y11" s="399" t="s">
        <v>276</v>
      </c>
      <c r="Z11" s="399" t="s">
        <v>276</v>
      </c>
      <c r="AA11" s="399" t="s">
        <v>276</v>
      </c>
      <c r="AB11" s="399" t="s">
        <v>276</v>
      </c>
      <c r="AC11" s="401"/>
      <c r="AD11" s="401"/>
      <c r="AE11" s="399" t="s">
        <v>74</v>
      </c>
      <c r="AF11" s="399" t="s">
        <v>74</v>
      </c>
      <c r="AG11" s="399" t="s">
        <v>74</v>
      </c>
      <c r="AH11" s="81">
        <v>15</v>
      </c>
      <c r="AI11" s="81">
        <v>1</v>
      </c>
      <c r="AJ11" s="249" t="s">
        <v>280</v>
      </c>
      <c r="AL11" s="413"/>
      <c r="AM11" s="412"/>
      <c r="AN11" s="412"/>
    </row>
    <row r="12" spans="1:40" ht="18" customHeight="1">
      <c r="A12" s="72">
        <v>5</v>
      </c>
      <c r="B12" s="488" t="s">
        <v>281</v>
      </c>
      <c r="C12" s="399" t="s">
        <v>74</v>
      </c>
      <c r="D12" s="399" t="s">
        <v>74</v>
      </c>
      <c r="E12" s="399" t="s">
        <v>74</v>
      </c>
      <c r="F12" s="399" t="s">
        <v>74</v>
      </c>
      <c r="G12" s="399" t="s">
        <v>276</v>
      </c>
      <c r="H12" s="400"/>
      <c r="I12" s="400"/>
      <c r="J12" s="399" t="s">
        <v>74</v>
      </c>
      <c r="K12" s="399" t="s">
        <v>194</v>
      </c>
      <c r="L12" s="399" t="s">
        <v>194</v>
      </c>
      <c r="M12" s="399" t="s">
        <v>74</v>
      </c>
      <c r="N12" s="399" t="s">
        <v>276</v>
      </c>
      <c r="O12" s="401"/>
      <c r="P12" s="401"/>
      <c r="Q12" s="399" t="s">
        <v>74</v>
      </c>
      <c r="R12" s="399" t="s">
        <v>74</v>
      </c>
      <c r="S12" s="399" t="s">
        <v>74</v>
      </c>
      <c r="T12" s="399" t="s">
        <v>74</v>
      </c>
      <c r="U12" s="399" t="s">
        <v>276</v>
      </c>
      <c r="V12" s="401"/>
      <c r="W12" s="401"/>
      <c r="X12" s="399" t="s">
        <v>74</v>
      </c>
      <c r="Y12" s="399" t="s">
        <v>74</v>
      </c>
      <c r="Z12" s="399" t="s">
        <v>74</v>
      </c>
      <c r="AA12" s="399" t="s">
        <v>74</v>
      </c>
      <c r="AB12" s="399" t="s">
        <v>276</v>
      </c>
      <c r="AC12" s="401"/>
      <c r="AD12" s="401"/>
      <c r="AE12" s="399" t="s">
        <v>74</v>
      </c>
      <c r="AF12" s="399" t="s">
        <v>74</v>
      </c>
      <c r="AG12" s="399" t="s">
        <v>276</v>
      </c>
      <c r="AH12" s="81">
        <v>16</v>
      </c>
      <c r="AI12" s="81">
        <v>2</v>
      </c>
      <c r="AJ12" s="249" t="s">
        <v>280</v>
      </c>
      <c r="AL12" s="412"/>
      <c r="AM12" s="412"/>
      <c r="AN12" s="412"/>
    </row>
    <row r="13" spans="1:40" ht="18" customHeight="1">
      <c r="A13" s="72">
        <v>6</v>
      </c>
      <c r="B13" s="488"/>
      <c r="C13" s="398"/>
      <c r="D13" s="398"/>
      <c r="E13" s="398"/>
      <c r="F13" s="398"/>
      <c r="G13" s="398"/>
      <c r="H13" s="402"/>
      <c r="I13" s="402"/>
      <c r="J13" s="398"/>
      <c r="K13" s="398"/>
      <c r="L13" s="398"/>
      <c r="M13" s="398"/>
      <c r="N13" s="398"/>
      <c r="O13" s="403"/>
      <c r="P13" s="403"/>
      <c r="Q13" s="398"/>
      <c r="R13" s="398"/>
      <c r="S13" s="398"/>
      <c r="T13" s="398"/>
      <c r="U13" s="398"/>
      <c r="V13" s="403"/>
      <c r="W13" s="403"/>
      <c r="X13" s="398"/>
      <c r="Y13" s="398"/>
      <c r="Z13" s="398"/>
      <c r="AA13" s="398"/>
      <c r="AB13" s="398"/>
      <c r="AC13" s="403"/>
      <c r="AD13" s="403"/>
      <c r="AE13" s="398"/>
      <c r="AF13" s="398"/>
      <c r="AG13" s="398"/>
      <c r="AH13" s="81"/>
      <c r="AI13" s="81"/>
      <c r="AJ13" s="249" t="s">
        <v>280</v>
      </c>
      <c r="AL13" s="412"/>
      <c r="AM13" s="412"/>
      <c r="AN13" s="412"/>
    </row>
    <row r="14" spans="1:40" ht="18" customHeight="1">
      <c r="A14" s="72">
        <v>7</v>
      </c>
      <c r="B14" s="488"/>
      <c r="C14" s="398"/>
      <c r="D14" s="398"/>
      <c r="E14" s="398"/>
      <c r="F14" s="398"/>
      <c r="G14" s="398"/>
      <c r="H14" s="402"/>
      <c r="I14" s="402"/>
      <c r="J14" s="398"/>
      <c r="K14" s="398"/>
      <c r="L14" s="398"/>
      <c r="M14" s="398"/>
      <c r="N14" s="398"/>
      <c r="O14" s="403"/>
      <c r="P14" s="403"/>
      <c r="Q14" s="398"/>
      <c r="R14" s="398"/>
      <c r="S14" s="398"/>
      <c r="T14" s="398"/>
      <c r="U14" s="398"/>
      <c r="V14" s="403"/>
      <c r="W14" s="403"/>
      <c r="X14" s="398"/>
      <c r="Y14" s="398"/>
      <c r="Z14" s="398"/>
      <c r="AA14" s="398"/>
      <c r="AB14" s="398"/>
      <c r="AC14" s="403"/>
      <c r="AD14" s="403"/>
      <c r="AE14" s="398"/>
      <c r="AF14" s="398"/>
      <c r="AG14" s="398"/>
      <c r="AH14" s="81"/>
      <c r="AI14" s="81"/>
      <c r="AJ14" s="249" t="s">
        <v>280</v>
      </c>
      <c r="AL14" s="412"/>
      <c r="AM14" s="412"/>
      <c r="AN14" s="412"/>
    </row>
    <row r="15" spans="1:40" ht="18" customHeight="1">
      <c r="A15" s="72">
        <v>8</v>
      </c>
      <c r="B15" s="488"/>
      <c r="C15" s="398"/>
      <c r="D15" s="398"/>
      <c r="E15" s="398"/>
      <c r="F15" s="398"/>
      <c r="G15" s="398"/>
      <c r="H15" s="403"/>
      <c r="I15" s="403"/>
      <c r="J15" s="398"/>
      <c r="K15" s="398"/>
      <c r="L15" s="398"/>
      <c r="M15" s="398"/>
      <c r="N15" s="398"/>
      <c r="O15" s="403"/>
      <c r="P15" s="403"/>
      <c r="Q15" s="398"/>
      <c r="R15" s="398"/>
      <c r="S15" s="398"/>
      <c r="T15" s="398"/>
      <c r="U15" s="398"/>
      <c r="V15" s="403"/>
      <c r="W15" s="403"/>
      <c r="X15" s="398"/>
      <c r="Y15" s="398"/>
      <c r="Z15" s="398"/>
      <c r="AA15" s="398"/>
      <c r="AB15" s="398"/>
      <c r="AC15" s="403"/>
      <c r="AD15" s="403"/>
      <c r="AE15" s="398"/>
      <c r="AF15" s="398"/>
      <c r="AG15" s="398"/>
      <c r="AH15" s="81"/>
      <c r="AI15" s="81"/>
      <c r="AJ15" s="249" t="s">
        <v>280</v>
      </c>
      <c r="AL15" s="412"/>
      <c r="AM15" s="412"/>
      <c r="AN15" s="412"/>
    </row>
    <row r="16" spans="1:40" ht="18" customHeight="1">
      <c r="A16" s="72">
        <v>9</v>
      </c>
      <c r="B16" s="488"/>
      <c r="C16" s="398"/>
      <c r="D16" s="398"/>
      <c r="E16" s="398"/>
      <c r="F16" s="398"/>
      <c r="G16" s="398"/>
      <c r="H16" s="403"/>
      <c r="I16" s="403"/>
      <c r="J16" s="398"/>
      <c r="K16" s="398"/>
      <c r="L16" s="398"/>
      <c r="M16" s="398"/>
      <c r="N16" s="398"/>
      <c r="O16" s="403"/>
      <c r="P16" s="403"/>
      <c r="Q16" s="398"/>
      <c r="R16" s="398"/>
      <c r="S16" s="398"/>
      <c r="T16" s="398"/>
      <c r="U16" s="398"/>
      <c r="V16" s="403"/>
      <c r="W16" s="403"/>
      <c r="X16" s="398"/>
      <c r="Y16" s="398"/>
      <c r="Z16" s="398"/>
      <c r="AA16" s="398"/>
      <c r="AB16" s="398"/>
      <c r="AC16" s="403"/>
      <c r="AD16" s="403"/>
      <c r="AE16" s="398"/>
      <c r="AF16" s="398"/>
      <c r="AG16" s="398"/>
      <c r="AH16" s="81"/>
      <c r="AI16" s="81"/>
      <c r="AJ16" s="249" t="s">
        <v>280</v>
      </c>
      <c r="AL16" s="413"/>
      <c r="AM16" s="412"/>
      <c r="AN16" s="412"/>
    </row>
    <row r="17" spans="1:40" ht="18" customHeight="1">
      <c r="A17" s="72">
        <v>10</v>
      </c>
      <c r="B17" s="488"/>
      <c r="C17" s="398"/>
      <c r="D17" s="398"/>
      <c r="E17" s="398"/>
      <c r="F17" s="398"/>
      <c r="G17" s="398"/>
      <c r="H17" s="403"/>
      <c r="I17" s="403"/>
      <c r="J17" s="398"/>
      <c r="K17" s="398"/>
      <c r="L17" s="398"/>
      <c r="M17" s="398"/>
      <c r="N17" s="398"/>
      <c r="O17" s="403"/>
      <c r="P17" s="403"/>
      <c r="Q17" s="398"/>
      <c r="R17" s="398"/>
      <c r="S17" s="398"/>
      <c r="T17" s="398"/>
      <c r="U17" s="398"/>
      <c r="V17" s="403"/>
      <c r="W17" s="403"/>
      <c r="X17" s="398"/>
      <c r="Y17" s="398"/>
      <c r="Z17" s="398"/>
      <c r="AA17" s="398"/>
      <c r="AB17" s="398"/>
      <c r="AC17" s="403"/>
      <c r="AD17" s="403"/>
      <c r="AE17" s="398"/>
      <c r="AF17" s="398"/>
      <c r="AG17" s="398"/>
      <c r="AH17" s="81"/>
      <c r="AI17" s="81"/>
      <c r="AJ17" s="249" t="s">
        <v>280</v>
      </c>
      <c r="AL17" s="413"/>
      <c r="AM17" s="412"/>
      <c r="AN17" s="412"/>
    </row>
    <row r="18" spans="1:40" ht="18" customHeight="1">
      <c r="A18" s="72">
        <v>11</v>
      </c>
      <c r="B18" s="488"/>
      <c r="C18" s="398"/>
      <c r="D18" s="398"/>
      <c r="E18" s="398"/>
      <c r="F18" s="398"/>
      <c r="G18" s="398"/>
      <c r="H18" s="403"/>
      <c r="I18" s="403"/>
      <c r="J18" s="398"/>
      <c r="K18" s="398"/>
      <c r="L18" s="398"/>
      <c r="M18" s="398"/>
      <c r="N18" s="398"/>
      <c r="O18" s="403"/>
      <c r="P18" s="403"/>
      <c r="Q18" s="398"/>
      <c r="R18" s="398"/>
      <c r="S18" s="398"/>
      <c r="T18" s="398"/>
      <c r="U18" s="398"/>
      <c r="V18" s="403"/>
      <c r="W18" s="403"/>
      <c r="X18" s="398"/>
      <c r="Y18" s="398"/>
      <c r="Z18" s="398"/>
      <c r="AA18" s="398"/>
      <c r="AB18" s="398"/>
      <c r="AC18" s="403"/>
      <c r="AD18" s="403"/>
      <c r="AE18" s="398"/>
      <c r="AF18" s="398"/>
      <c r="AG18" s="398"/>
      <c r="AH18" s="81"/>
      <c r="AI18" s="81"/>
      <c r="AJ18" s="249" t="s">
        <v>280</v>
      </c>
      <c r="AL18" s="412"/>
      <c r="AM18" s="414"/>
      <c r="AN18" s="412"/>
    </row>
    <row r="19" spans="1:40" ht="18" customHeight="1">
      <c r="A19" s="72">
        <v>12</v>
      </c>
      <c r="B19" s="488"/>
      <c r="C19" s="398"/>
      <c r="D19" s="398"/>
      <c r="E19" s="398"/>
      <c r="F19" s="398"/>
      <c r="G19" s="398"/>
      <c r="H19" s="403"/>
      <c r="I19" s="403"/>
      <c r="J19" s="398"/>
      <c r="K19" s="398"/>
      <c r="L19" s="398"/>
      <c r="M19" s="398"/>
      <c r="N19" s="398"/>
      <c r="O19" s="403"/>
      <c r="P19" s="403"/>
      <c r="Q19" s="398"/>
      <c r="R19" s="398"/>
      <c r="S19" s="398"/>
      <c r="T19" s="398"/>
      <c r="U19" s="398"/>
      <c r="V19" s="403"/>
      <c r="W19" s="403"/>
      <c r="X19" s="398"/>
      <c r="Y19" s="398"/>
      <c r="Z19" s="398"/>
      <c r="AA19" s="398"/>
      <c r="AB19" s="398"/>
      <c r="AC19" s="403"/>
      <c r="AD19" s="403"/>
      <c r="AE19" s="398"/>
      <c r="AF19" s="398"/>
      <c r="AG19" s="398"/>
      <c r="AH19" s="81"/>
      <c r="AI19" s="81"/>
      <c r="AJ19" s="249" t="s">
        <v>280</v>
      </c>
      <c r="AL19" s="412"/>
      <c r="AM19" s="414"/>
      <c r="AN19" s="412"/>
    </row>
    <row r="20" spans="1:40" ht="18" customHeight="1">
      <c r="A20" s="72">
        <v>13</v>
      </c>
      <c r="B20" s="488"/>
      <c r="C20" s="398"/>
      <c r="D20" s="398"/>
      <c r="E20" s="398"/>
      <c r="F20" s="398"/>
      <c r="G20" s="398"/>
      <c r="H20" s="404"/>
      <c r="I20" s="404"/>
      <c r="J20" s="398"/>
      <c r="K20" s="398"/>
      <c r="L20" s="398"/>
      <c r="M20" s="398"/>
      <c r="N20" s="398"/>
      <c r="O20" s="404"/>
      <c r="P20" s="404"/>
      <c r="Q20" s="398"/>
      <c r="R20" s="398"/>
      <c r="S20" s="398"/>
      <c r="T20" s="398"/>
      <c r="U20" s="398"/>
      <c r="V20" s="404"/>
      <c r="W20" s="404"/>
      <c r="X20" s="398"/>
      <c r="Y20" s="398"/>
      <c r="Z20" s="398"/>
      <c r="AA20" s="398"/>
      <c r="AB20" s="398"/>
      <c r="AC20" s="404"/>
      <c r="AD20" s="404"/>
      <c r="AE20" s="398"/>
      <c r="AF20" s="398"/>
      <c r="AG20" s="398"/>
      <c r="AH20" s="81"/>
      <c r="AI20" s="81"/>
      <c r="AJ20" s="249" t="s">
        <v>280</v>
      </c>
      <c r="AL20" s="412"/>
      <c r="AM20" s="414"/>
      <c r="AN20" s="412"/>
    </row>
    <row r="21" spans="1:40" ht="18" customHeight="1">
      <c r="A21" s="72">
        <v>14</v>
      </c>
      <c r="B21" s="488"/>
      <c r="C21" s="398"/>
      <c r="D21" s="398"/>
      <c r="E21" s="398"/>
      <c r="F21" s="398"/>
      <c r="G21" s="398"/>
      <c r="H21" s="404"/>
      <c r="I21" s="404"/>
      <c r="J21" s="398"/>
      <c r="K21" s="398"/>
      <c r="L21" s="398"/>
      <c r="M21" s="398"/>
      <c r="N21" s="398"/>
      <c r="O21" s="404"/>
      <c r="P21" s="404"/>
      <c r="Q21" s="398"/>
      <c r="R21" s="398"/>
      <c r="S21" s="398"/>
      <c r="T21" s="398"/>
      <c r="U21" s="398"/>
      <c r="V21" s="404"/>
      <c r="W21" s="404"/>
      <c r="X21" s="398"/>
      <c r="Y21" s="398"/>
      <c r="Z21" s="398"/>
      <c r="AA21" s="398"/>
      <c r="AB21" s="398"/>
      <c r="AC21" s="404"/>
      <c r="AD21" s="404"/>
      <c r="AE21" s="398"/>
      <c r="AF21" s="398"/>
      <c r="AG21" s="398"/>
      <c r="AH21" s="81"/>
      <c r="AI21" s="81"/>
      <c r="AJ21" s="249" t="s">
        <v>280</v>
      </c>
      <c r="AL21" s="412"/>
      <c r="AM21" s="414"/>
      <c r="AN21" s="412"/>
    </row>
    <row r="22" spans="1:40" ht="18" customHeight="1" thickBot="1">
      <c r="A22" s="166">
        <v>15</v>
      </c>
      <c r="B22" s="488"/>
      <c r="C22" s="398"/>
      <c r="D22" s="398"/>
      <c r="E22" s="398"/>
      <c r="F22" s="398"/>
      <c r="G22" s="398"/>
      <c r="H22" s="405"/>
      <c r="I22" s="405"/>
      <c r="J22" s="398"/>
      <c r="K22" s="398"/>
      <c r="L22" s="398"/>
      <c r="M22" s="398"/>
      <c r="N22" s="398"/>
      <c r="O22" s="405"/>
      <c r="P22" s="405"/>
      <c r="Q22" s="398"/>
      <c r="R22" s="398"/>
      <c r="S22" s="398"/>
      <c r="T22" s="398"/>
      <c r="U22" s="398"/>
      <c r="V22" s="405"/>
      <c r="W22" s="405"/>
      <c r="X22" s="398"/>
      <c r="Y22" s="398"/>
      <c r="Z22" s="398"/>
      <c r="AA22" s="398"/>
      <c r="AB22" s="398"/>
      <c r="AC22" s="405"/>
      <c r="AD22" s="405"/>
      <c r="AE22" s="398"/>
      <c r="AF22" s="398"/>
      <c r="AG22" s="398"/>
      <c r="AH22" s="81"/>
      <c r="AI22" s="81"/>
      <c r="AJ22" s="249" t="s">
        <v>280</v>
      </c>
      <c r="AK22" s="46"/>
      <c r="AL22" s="415"/>
      <c r="AM22" s="416"/>
      <c r="AN22" s="417"/>
    </row>
    <row r="23" spans="1:40" ht="13.5" thickTop="1">
      <c r="A23" s="679" t="s">
        <v>160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4"/>
      <c r="P23" s="204"/>
      <c r="Q23" s="204"/>
      <c r="R23" s="204"/>
      <c r="Z23" s="593" t="s">
        <v>189</v>
      </c>
      <c r="AA23" s="593"/>
      <c r="AB23" s="593"/>
      <c r="AC23" s="593"/>
      <c r="AD23" s="593"/>
      <c r="AE23" s="593"/>
      <c r="AF23" s="593"/>
      <c r="AG23" s="593"/>
      <c r="AH23" s="81">
        <v>92</v>
      </c>
      <c r="AI23" s="81">
        <v>4</v>
      </c>
      <c r="AJ23" s="170"/>
      <c r="AL23" s="4"/>
      <c r="AM23" s="4"/>
      <c r="AN23" s="4"/>
    </row>
    <row r="24" spans="1:40" ht="15.75" customHeight="1">
      <c r="A24" s="679"/>
      <c r="B24" s="681" t="s">
        <v>165</v>
      </c>
      <c r="C24" s="682"/>
      <c r="D24" s="682"/>
      <c r="E24" s="682"/>
      <c r="F24" s="682"/>
      <c r="G24" s="682"/>
      <c r="H24" s="682"/>
      <c r="I24" s="682"/>
      <c r="J24" s="682"/>
      <c r="K24" s="682"/>
      <c r="L24" s="682"/>
      <c r="M24" s="682"/>
      <c r="N24" s="682"/>
      <c r="O24" s="682"/>
      <c r="P24" s="682"/>
      <c r="Q24" s="597">
        <v>0</v>
      </c>
      <c r="R24" s="597"/>
      <c r="S24" s="597"/>
      <c r="T24" s="597"/>
      <c r="U24" s="597"/>
      <c r="V24" s="597"/>
      <c r="AI24" s="4"/>
      <c r="AJ24" s="4"/>
      <c r="AL24" s="594" t="s">
        <v>237</v>
      </c>
      <c r="AM24" s="603" t="s">
        <v>125</v>
      </c>
      <c r="AN24" s="603" t="s">
        <v>124</v>
      </c>
    </row>
    <row r="25" spans="1:40" ht="12.75" customHeight="1">
      <c r="A25" s="679"/>
      <c r="B25" s="681"/>
      <c r="C25" s="682"/>
      <c r="D25" s="682"/>
      <c r="E25" s="682"/>
      <c r="F25" s="682"/>
      <c r="G25" s="682"/>
      <c r="H25" s="682"/>
      <c r="I25" s="682"/>
      <c r="J25" s="682"/>
      <c r="K25" s="682"/>
      <c r="L25" s="682"/>
      <c r="M25" s="682"/>
      <c r="N25" s="682"/>
      <c r="O25" s="682"/>
      <c r="P25" s="682"/>
      <c r="Q25" s="597"/>
      <c r="R25" s="597"/>
      <c r="S25" s="597"/>
      <c r="T25" s="597"/>
      <c r="U25" s="597"/>
      <c r="V25" s="597"/>
      <c r="AI25" s="4"/>
      <c r="AJ25" s="4"/>
      <c r="AL25" s="595"/>
      <c r="AM25" s="595"/>
      <c r="AN25" s="595"/>
    </row>
    <row r="26" spans="1:40" ht="12.75" customHeight="1" thickBot="1">
      <c r="A26" s="680"/>
      <c r="B26" s="205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162"/>
      <c r="AL26" s="596"/>
      <c r="AM26" s="604"/>
      <c r="AN26" s="604"/>
    </row>
    <row r="27" spans="1:40" ht="18" customHeight="1" thickBot="1" thickTop="1">
      <c r="A27" s="406" t="s">
        <v>79</v>
      </c>
      <c r="B27" s="398" t="s">
        <v>282</v>
      </c>
      <c r="C27" s="399"/>
      <c r="D27" s="399"/>
      <c r="E27" s="399"/>
      <c r="F27" s="399"/>
      <c r="G27" s="399"/>
      <c r="H27" s="407"/>
      <c r="I27" s="407"/>
      <c r="J27" s="399"/>
      <c r="K27" s="399"/>
      <c r="L27" s="399"/>
      <c r="M27" s="399"/>
      <c r="N27" s="399"/>
      <c r="O27" s="407"/>
      <c r="P27" s="407"/>
      <c r="Q27" s="399"/>
      <c r="R27" s="399"/>
      <c r="S27" s="399"/>
      <c r="T27" s="399"/>
      <c r="U27" s="399"/>
      <c r="V27" s="407"/>
      <c r="W27" s="407"/>
      <c r="X27" s="399" t="s">
        <v>283</v>
      </c>
      <c r="Y27" s="399" t="s">
        <v>283</v>
      </c>
      <c r="Z27" s="399" t="s">
        <v>283</v>
      </c>
      <c r="AA27" s="399" t="s">
        <v>283</v>
      </c>
      <c r="AB27" s="399" t="s">
        <v>276</v>
      </c>
      <c r="AC27" s="407"/>
      <c r="AD27" s="407"/>
      <c r="AE27" s="399" t="s">
        <v>283</v>
      </c>
      <c r="AF27" s="399" t="s">
        <v>283</v>
      </c>
      <c r="AG27" s="399" t="s">
        <v>283</v>
      </c>
      <c r="AH27" s="81">
        <v>7</v>
      </c>
      <c r="AI27" s="81"/>
      <c r="AJ27" s="81" t="s">
        <v>280</v>
      </c>
      <c r="AL27" s="69">
        <v>56</v>
      </c>
      <c r="AM27" s="208">
        <v>0</v>
      </c>
      <c r="AN27" s="348">
        <v>0</v>
      </c>
    </row>
    <row r="28" spans="1:40" ht="18" customHeight="1" thickBot="1" thickTop="1">
      <c r="A28" s="406" t="s">
        <v>159</v>
      </c>
      <c r="B28" s="398" t="s">
        <v>284</v>
      </c>
      <c r="C28" s="399"/>
      <c r="D28" s="399"/>
      <c r="E28" s="399"/>
      <c r="F28" s="399"/>
      <c r="G28" s="399" t="s">
        <v>283</v>
      </c>
      <c r="H28" s="408"/>
      <c r="I28" s="408"/>
      <c r="J28" s="399"/>
      <c r="K28" s="399"/>
      <c r="L28" s="399"/>
      <c r="M28" s="399"/>
      <c r="N28" s="399"/>
      <c r="O28" s="401"/>
      <c r="P28" s="408"/>
      <c r="Q28" s="399"/>
      <c r="R28" s="399"/>
      <c r="S28" s="399"/>
      <c r="T28" s="399"/>
      <c r="U28" s="399"/>
      <c r="V28" s="408"/>
      <c r="W28" s="408"/>
      <c r="X28" s="399"/>
      <c r="Y28" s="399"/>
      <c r="Z28" s="399"/>
      <c r="AA28" s="399"/>
      <c r="AB28" s="399"/>
      <c r="AC28" s="401"/>
      <c r="AD28" s="401"/>
      <c r="AE28" s="399"/>
      <c r="AF28" s="399"/>
      <c r="AG28" s="399"/>
      <c r="AH28" s="81">
        <v>1</v>
      </c>
      <c r="AI28" s="81"/>
      <c r="AJ28" s="81" t="s">
        <v>280</v>
      </c>
      <c r="AL28" s="69">
        <v>8</v>
      </c>
      <c r="AM28" s="208">
        <v>0</v>
      </c>
      <c r="AN28" s="348">
        <v>0</v>
      </c>
    </row>
    <row r="29" spans="1:40" ht="18" customHeight="1" thickBot="1" thickTop="1">
      <c r="A29" s="406"/>
      <c r="B29" s="398"/>
      <c r="C29" s="399"/>
      <c r="D29" s="399"/>
      <c r="E29" s="399"/>
      <c r="F29" s="399"/>
      <c r="G29" s="399"/>
      <c r="H29" s="408"/>
      <c r="I29" s="408"/>
      <c r="J29" s="399"/>
      <c r="K29" s="399"/>
      <c r="L29" s="399"/>
      <c r="M29" s="399"/>
      <c r="N29" s="399"/>
      <c r="O29" s="408"/>
      <c r="P29" s="408"/>
      <c r="Q29" s="399"/>
      <c r="R29" s="399"/>
      <c r="S29" s="399"/>
      <c r="T29" s="399"/>
      <c r="U29" s="399"/>
      <c r="V29" s="408"/>
      <c r="W29" s="408"/>
      <c r="X29" s="399"/>
      <c r="Y29" s="399"/>
      <c r="Z29" s="399"/>
      <c r="AA29" s="399"/>
      <c r="AB29" s="399"/>
      <c r="AC29" s="408"/>
      <c r="AD29" s="408"/>
      <c r="AE29" s="399"/>
      <c r="AF29" s="399"/>
      <c r="AG29" s="399"/>
      <c r="AH29" s="81"/>
      <c r="AI29" s="81"/>
      <c r="AJ29" s="81" t="s">
        <v>280</v>
      </c>
      <c r="AL29" s="69">
        <v>0</v>
      </c>
      <c r="AM29" s="208" t="s">
        <v>100</v>
      </c>
      <c r="AN29" s="348">
        <v>0</v>
      </c>
    </row>
    <row r="30" spans="1:40" ht="18" customHeight="1" thickBot="1" thickTop="1">
      <c r="A30" s="406"/>
      <c r="B30" s="398"/>
      <c r="C30" s="399"/>
      <c r="D30" s="399"/>
      <c r="E30" s="399"/>
      <c r="F30" s="399"/>
      <c r="G30" s="399"/>
      <c r="H30" s="401"/>
      <c r="I30" s="408"/>
      <c r="J30" s="399"/>
      <c r="K30" s="399"/>
      <c r="L30" s="399"/>
      <c r="M30" s="399"/>
      <c r="N30" s="399"/>
      <c r="O30" s="408"/>
      <c r="P30" s="408"/>
      <c r="Q30" s="399"/>
      <c r="R30" s="399"/>
      <c r="S30" s="399"/>
      <c r="T30" s="399"/>
      <c r="U30" s="399"/>
      <c r="V30" s="408"/>
      <c r="W30" s="408"/>
      <c r="X30" s="399"/>
      <c r="Y30" s="399"/>
      <c r="Z30" s="399"/>
      <c r="AA30" s="399"/>
      <c r="AB30" s="399"/>
      <c r="AC30" s="408"/>
      <c r="AD30" s="408"/>
      <c r="AE30" s="399"/>
      <c r="AF30" s="399"/>
      <c r="AG30" s="399"/>
      <c r="AH30" s="81"/>
      <c r="AI30" s="81"/>
      <c r="AJ30" s="81" t="s">
        <v>280</v>
      </c>
      <c r="AL30" s="69">
        <v>0</v>
      </c>
      <c r="AM30" s="208" t="s">
        <v>100</v>
      </c>
      <c r="AN30" s="348">
        <v>0</v>
      </c>
    </row>
    <row r="31" spans="1:40" s="54" customFormat="1" ht="18" customHeight="1" thickBot="1" thickTop="1">
      <c r="A31" s="406"/>
      <c r="B31" s="398"/>
      <c r="C31" s="398"/>
      <c r="D31" s="398"/>
      <c r="E31" s="398"/>
      <c r="F31" s="398"/>
      <c r="G31" s="398"/>
      <c r="H31" s="404"/>
      <c r="I31" s="404"/>
      <c r="J31" s="398"/>
      <c r="K31" s="398"/>
      <c r="L31" s="398"/>
      <c r="M31" s="398"/>
      <c r="N31" s="398"/>
      <c r="O31" s="404"/>
      <c r="P31" s="404"/>
      <c r="Q31" s="398"/>
      <c r="R31" s="398"/>
      <c r="S31" s="398"/>
      <c r="T31" s="398"/>
      <c r="U31" s="398"/>
      <c r="V31" s="404"/>
      <c r="W31" s="404"/>
      <c r="X31" s="398"/>
      <c r="Y31" s="398"/>
      <c r="Z31" s="398"/>
      <c r="AA31" s="398"/>
      <c r="AB31" s="398"/>
      <c r="AC31" s="404"/>
      <c r="AD31" s="404"/>
      <c r="AE31" s="398"/>
      <c r="AF31" s="398"/>
      <c r="AG31" s="398"/>
      <c r="AH31" s="81"/>
      <c r="AI31" s="81"/>
      <c r="AJ31" s="81" t="s">
        <v>280</v>
      </c>
      <c r="AK31" s="4"/>
      <c r="AL31" s="69">
        <v>0</v>
      </c>
      <c r="AM31" s="208" t="s">
        <v>100</v>
      </c>
      <c r="AN31" s="348">
        <v>0</v>
      </c>
    </row>
    <row r="32" spans="1:40" ht="18" customHeight="1" thickBot="1" thickTop="1">
      <c r="A32" s="406"/>
      <c r="B32" s="409"/>
      <c r="C32" s="398"/>
      <c r="D32" s="398"/>
      <c r="E32" s="398"/>
      <c r="F32" s="398"/>
      <c r="G32" s="398"/>
      <c r="H32" s="404"/>
      <c r="I32" s="404"/>
      <c r="J32" s="398"/>
      <c r="K32" s="398"/>
      <c r="L32" s="398"/>
      <c r="M32" s="398"/>
      <c r="N32" s="398"/>
      <c r="O32" s="404"/>
      <c r="P32" s="404"/>
      <c r="Q32" s="398"/>
      <c r="R32" s="398"/>
      <c r="S32" s="398"/>
      <c r="T32" s="398"/>
      <c r="U32" s="398"/>
      <c r="V32" s="404"/>
      <c r="W32" s="404"/>
      <c r="X32" s="398"/>
      <c r="Y32" s="398"/>
      <c r="Z32" s="398"/>
      <c r="AA32" s="398"/>
      <c r="AB32" s="398"/>
      <c r="AC32" s="404"/>
      <c r="AD32" s="404"/>
      <c r="AE32" s="398"/>
      <c r="AF32" s="398"/>
      <c r="AG32" s="398"/>
      <c r="AH32" s="81"/>
      <c r="AI32" s="81"/>
      <c r="AJ32" s="81" t="s">
        <v>280</v>
      </c>
      <c r="AK32" s="46"/>
      <c r="AL32" s="69">
        <v>0</v>
      </c>
      <c r="AM32" s="208" t="s">
        <v>100</v>
      </c>
      <c r="AN32" s="348">
        <v>0</v>
      </c>
    </row>
    <row r="33" spans="1:40" ht="18" customHeight="1" thickBot="1" thickTop="1">
      <c r="A33" s="406"/>
      <c r="B33" s="410"/>
      <c r="C33" s="398"/>
      <c r="D33" s="398"/>
      <c r="E33" s="398"/>
      <c r="F33" s="398"/>
      <c r="G33" s="398"/>
      <c r="H33" s="405"/>
      <c r="I33" s="405"/>
      <c r="J33" s="398"/>
      <c r="K33" s="398"/>
      <c r="L33" s="398"/>
      <c r="M33" s="398"/>
      <c r="N33" s="398"/>
      <c r="O33" s="405"/>
      <c r="P33" s="405"/>
      <c r="Q33" s="398"/>
      <c r="R33" s="398"/>
      <c r="S33" s="398"/>
      <c r="T33" s="398"/>
      <c r="U33" s="398"/>
      <c r="V33" s="405"/>
      <c r="W33" s="405"/>
      <c r="X33" s="398"/>
      <c r="Y33" s="398"/>
      <c r="Z33" s="398"/>
      <c r="AA33" s="398"/>
      <c r="AB33" s="398"/>
      <c r="AC33" s="405"/>
      <c r="AD33" s="405"/>
      <c r="AE33" s="398"/>
      <c r="AF33" s="398"/>
      <c r="AG33" s="398"/>
      <c r="AH33" s="81"/>
      <c r="AI33" s="81"/>
      <c r="AJ33" s="81" t="s">
        <v>280</v>
      </c>
      <c r="AK33" s="54"/>
      <c r="AL33" s="69">
        <v>0</v>
      </c>
      <c r="AM33" s="209" t="s">
        <v>100</v>
      </c>
      <c r="AN33" s="349">
        <v>0</v>
      </c>
    </row>
    <row r="34" spans="2:40" ht="15.75" customHeight="1" thickBot="1" thickTop="1">
      <c r="B34" s="57"/>
      <c r="W34" s="593" t="s">
        <v>188</v>
      </c>
      <c r="X34" s="593"/>
      <c r="Y34" s="593"/>
      <c r="Z34" s="593"/>
      <c r="AA34" s="593"/>
      <c r="AB34" s="593"/>
      <c r="AC34" s="593"/>
      <c r="AD34" s="593"/>
      <c r="AE34" s="593"/>
      <c r="AF34" s="593"/>
      <c r="AG34" s="593"/>
      <c r="AH34" s="81">
        <v>8</v>
      </c>
      <c r="AI34" s="81">
        <v>0</v>
      </c>
      <c r="AJ34" s="170"/>
      <c r="AK34" s="31"/>
      <c r="AL34" s="172"/>
      <c r="AM34" s="172"/>
      <c r="AN34" s="263">
        <v>0</v>
      </c>
    </row>
    <row r="35" spans="1:40" ht="15.75" customHeight="1" thickTop="1">
      <c r="A35" s="258"/>
      <c r="AG35" s="54"/>
      <c r="AH35" s="54"/>
      <c r="AI35" s="55"/>
      <c r="AJ35" s="55"/>
      <c r="AK35" s="54"/>
      <c r="AL35" s="55"/>
      <c r="AM35" s="55"/>
      <c r="AN35" s="55"/>
    </row>
    <row r="36" spans="1:40" ht="12.75">
      <c r="A36" s="258"/>
      <c r="K36" s="45"/>
      <c r="L36" s="45"/>
      <c r="N36" s="45"/>
      <c r="O36" s="45"/>
      <c r="P36" s="45"/>
      <c r="Q36" s="54"/>
      <c r="T36" s="32"/>
      <c r="W36" s="54"/>
      <c r="X36" s="54"/>
      <c r="Y36" s="54"/>
      <c r="AH36" s="146"/>
      <c r="AJ36" s="55"/>
      <c r="AK36" s="54"/>
      <c r="AL36" s="54"/>
      <c r="AM36" s="54"/>
      <c r="AN36" s="54"/>
    </row>
    <row r="37" spans="1:38" ht="15.75">
      <c r="A37" s="258"/>
      <c r="B37" s="45"/>
      <c r="D37" s="45"/>
      <c r="E37" s="45"/>
      <c r="F37" s="45"/>
      <c r="J37" s="32"/>
      <c r="W37" s="31"/>
      <c r="X37" s="56" t="s">
        <v>52</v>
      </c>
      <c r="Y37" s="54"/>
      <c r="AL37" s="49"/>
    </row>
    <row r="38" spans="1:25" ht="12.75">
      <c r="A38" s="258"/>
      <c r="B38" s="45"/>
      <c r="D38" s="45"/>
      <c r="E38" s="45"/>
      <c r="F38" s="45"/>
      <c r="J38" s="32"/>
      <c r="W38" s="54"/>
      <c r="X38" s="57" t="s">
        <v>58</v>
      </c>
      <c r="Y38" s="54"/>
    </row>
    <row r="39" spans="1:24" ht="12.75">
      <c r="A39" s="258"/>
      <c r="K39" s="45"/>
      <c r="L39" s="45"/>
      <c r="N39" s="45"/>
      <c r="O39" s="45"/>
      <c r="P39" s="45"/>
      <c r="T39" s="32"/>
      <c r="X39" s="57" t="s">
        <v>59</v>
      </c>
    </row>
    <row r="40" spans="11:20" ht="12.75">
      <c r="K40" s="45"/>
      <c r="L40" s="45"/>
      <c r="N40" s="45"/>
      <c r="O40" s="45"/>
      <c r="P40" s="45"/>
      <c r="T40" s="32"/>
    </row>
    <row r="41" spans="1:40" ht="12.75">
      <c r="A41" s="4"/>
      <c r="K41" s="45"/>
      <c r="L41" s="45"/>
      <c r="N41" s="45"/>
      <c r="O41" s="45"/>
      <c r="P41" s="45"/>
      <c r="T41" s="32"/>
      <c r="AI41" s="4"/>
      <c r="AJ41" s="4"/>
      <c r="AL41" s="4"/>
      <c r="AM41" s="4"/>
      <c r="AN41" s="4"/>
    </row>
    <row r="42" spans="1:40" ht="12.75">
      <c r="A42" s="4"/>
      <c r="K42" s="45"/>
      <c r="L42" s="45"/>
      <c r="N42" s="45"/>
      <c r="O42" s="45"/>
      <c r="P42" s="45"/>
      <c r="T42" s="32"/>
      <c r="AI42" s="4"/>
      <c r="AJ42" s="4"/>
      <c r="AL42" s="4"/>
      <c r="AM42" s="4"/>
      <c r="AN42" s="4"/>
    </row>
    <row r="43" spans="1:40" ht="12.75">
      <c r="A43" s="4"/>
      <c r="AI43" s="4"/>
      <c r="AJ43" s="4"/>
      <c r="AL43" s="4"/>
      <c r="AM43" s="4"/>
      <c r="AN43" s="4"/>
    </row>
    <row r="44" spans="1:40" ht="12.75">
      <c r="A44" s="4"/>
      <c r="AI44" s="4"/>
      <c r="AJ44" s="4"/>
      <c r="AL44" s="4"/>
      <c r="AM44" s="4"/>
      <c r="AN44" s="4"/>
    </row>
    <row r="45" spans="1:40" ht="12.75">
      <c r="A45" s="4"/>
      <c r="AI45" s="4"/>
      <c r="AJ45" s="4"/>
      <c r="AL45" s="4"/>
      <c r="AM45" s="4"/>
      <c r="AN45" s="4"/>
    </row>
    <row r="46" spans="1:40" ht="12.75">
      <c r="A46" s="4"/>
      <c r="AI46" s="4"/>
      <c r="AJ46" s="4"/>
      <c r="AL46" s="4"/>
      <c r="AM46" s="4"/>
      <c r="AN46" s="4"/>
    </row>
    <row r="47" spans="1:40" ht="12.75">
      <c r="A47" s="4"/>
      <c r="AI47" s="4"/>
      <c r="AJ47" s="4"/>
      <c r="AL47" s="4"/>
      <c r="AM47" s="4"/>
      <c r="AN47" s="4"/>
    </row>
  </sheetData>
  <sheetProtection password="E4A4" sheet="1" objects="1" scenarios="1" selectLockedCells="1"/>
  <mergeCells count="24">
    <mergeCell ref="AJ3:AJ7"/>
    <mergeCell ref="A23:A26"/>
    <mergeCell ref="Z23:AG23"/>
    <mergeCell ref="B24:P25"/>
    <mergeCell ref="Q24:V25"/>
    <mergeCell ref="B5:C6"/>
    <mergeCell ref="M5:T6"/>
    <mergeCell ref="U5:V6"/>
    <mergeCell ref="O2:AE2"/>
    <mergeCell ref="B3:L4"/>
    <mergeCell ref="M3:U4"/>
    <mergeCell ref="W3:AC4"/>
    <mergeCell ref="AD3:AE4"/>
    <mergeCell ref="AH3:AH7"/>
    <mergeCell ref="W34:AG34"/>
    <mergeCell ref="AD5:AE6"/>
    <mergeCell ref="AL3:AL7"/>
    <mergeCell ref="AM3:AM7"/>
    <mergeCell ref="AN3:AN7"/>
    <mergeCell ref="AL24:AL26"/>
    <mergeCell ref="AM24:AM26"/>
    <mergeCell ref="AN24:AN26"/>
    <mergeCell ref="X5:AC6"/>
    <mergeCell ref="AI3:AI7"/>
  </mergeCells>
  <conditionalFormatting sqref="H27:I33 H8:I22 O8:P22 V8:W22 AC8:AD22 O27:P33 V27:W33 AC27:AD33">
    <cfRule type="expression" priority="14" dxfId="0" stopIfTrue="1">
      <formula>H$1=0</formula>
    </cfRule>
  </conditionalFormatting>
  <printOptions/>
  <pageMargins left="0.36" right="0.29" top="1" bottom="0.85" header="0.5" footer="0.5"/>
  <pageSetup fitToHeight="1" fitToWidth="1" horizontalDpi="600" verticalDpi="600" orientation="landscape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O18"/>
  <sheetViews>
    <sheetView zoomScalePageLayoutView="0" workbookViewId="0" topLeftCell="C1">
      <selection activeCell="I27" sqref="I27"/>
    </sheetView>
  </sheetViews>
  <sheetFormatPr defaultColWidth="9.140625" defaultRowHeight="12.75"/>
  <cols>
    <col min="1" max="1" width="8.140625" style="0" customWidth="1"/>
    <col min="2" max="2" width="37.8515625" style="0" bestFit="1" customWidth="1"/>
    <col min="3" max="8" width="8.8515625" style="0" customWidth="1"/>
    <col min="9" max="9" width="14.421875" style="0" customWidth="1"/>
    <col min="10" max="10" width="7.57421875" style="0" bestFit="1" customWidth="1"/>
    <col min="11" max="11" width="9.00390625" style="0" bestFit="1" customWidth="1"/>
    <col min="12" max="12" width="8.421875" style="0" bestFit="1" customWidth="1"/>
    <col min="13" max="13" width="9.140625" style="0" customWidth="1"/>
    <col min="14" max="14" width="19.00390625" style="0" bestFit="1" customWidth="1"/>
    <col min="15" max="15" width="15.00390625" style="0" bestFit="1" customWidth="1"/>
  </cols>
  <sheetData>
    <row r="4" ht="13.5" thickBot="1">
      <c r="B4" t="s">
        <v>206</v>
      </c>
    </row>
    <row r="5" spans="2:13" ht="13.5" thickBot="1">
      <c r="B5" t="str">
        <f>'Vanpool Report'!Q8</f>
        <v>5-day</v>
      </c>
      <c r="I5" s="309" t="s">
        <v>202</v>
      </c>
      <c r="J5" s="296" t="s">
        <v>207</v>
      </c>
      <c r="K5" s="316" t="s">
        <v>208</v>
      </c>
      <c r="L5" s="326" t="s">
        <v>229</v>
      </c>
      <c r="M5" s="325"/>
    </row>
    <row r="6" spans="9:12" ht="13.5" thickBot="1">
      <c r="I6" s="303" t="s">
        <v>195</v>
      </c>
      <c r="J6" s="294">
        <v>3</v>
      </c>
      <c r="K6" s="294">
        <v>20</v>
      </c>
      <c r="L6" s="294">
        <v>17</v>
      </c>
    </row>
    <row r="7" spans="2:15" ht="13.5" thickBot="1">
      <c r="B7" t="s">
        <v>209</v>
      </c>
      <c r="I7" s="303" t="s">
        <v>197</v>
      </c>
      <c r="J7" s="298">
        <v>43</v>
      </c>
      <c r="K7" s="298">
        <v>20</v>
      </c>
      <c r="L7" s="298">
        <v>20</v>
      </c>
      <c r="N7" s="683" t="s">
        <v>210</v>
      </c>
      <c r="O7" s="684"/>
    </row>
    <row r="8" spans="2:15" ht="15">
      <c r="B8" s="311">
        <f>'Vanpool Report'!Q9</f>
        <v>0</v>
      </c>
      <c r="I8" s="303" t="s">
        <v>198</v>
      </c>
      <c r="J8" s="298">
        <v>84</v>
      </c>
      <c r="K8" s="298">
        <v>20</v>
      </c>
      <c r="L8" s="298">
        <v>25</v>
      </c>
      <c r="N8" s="303" t="s">
        <v>211</v>
      </c>
      <c r="O8" s="304">
        <f>IF(ISERROR(O10-O9),0,O10-O9)</f>
        <v>0</v>
      </c>
    </row>
    <row r="9" spans="9:15" ht="15">
      <c r="I9" s="303" t="s">
        <v>199</v>
      </c>
      <c r="J9" s="298">
        <v>125</v>
      </c>
      <c r="K9" s="298">
        <v>20</v>
      </c>
      <c r="L9" s="298">
        <v>30</v>
      </c>
      <c r="N9" s="303" t="s">
        <v>212</v>
      </c>
      <c r="O9" s="304" t="e">
        <f>O11*IF(B12=0,0,IF(B12&gt;5,B12,5))</f>
        <v>#N/A</v>
      </c>
    </row>
    <row r="10" spans="9:15" ht="15.75" thickBot="1">
      <c r="I10" s="124" t="s">
        <v>200</v>
      </c>
      <c r="J10" s="298">
        <v>166</v>
      </c>
      <c r="K10" s="298">
        <v>20</v>
      </c>
      <c r="L10" s="298">
        <v>19</v>
      </c>
      <c r="N10" s="303" t="s">
        <v>213</v>
      </c>
      <c r="O10" s="304" t="e">
        <f>O11*B12</f>
        <v>#N/A</v>
      </c>
    </row>
    <row r="11" spans="2:15" ht="15.75" thickBot="1">
      <c r="B11" t="s">
        <v>214</v>
      </c>
      <c r="N11" s="303" t="s">
        <v>215</v>
      </c>
      <c r="O11" s="304" t="e">
        <f>VLOOKUP(O12,IF(B5="4-day",FaresFour,IF(B5="5-day",FaresFive,IF(B5="6-day",FaresSix,IF(B5="7-day",FaresSeven,FaresNine)))),IF(B12&gt;5,(B12-3),2),FALSE)</f>
        <v>#N/A</v>
      </c>
    </row>
    <row r="12" spans="2:15" ht="13.5" thickBot="1">
      <c r="B12" s="299">
        <f>IF('Vanpool Report'!R3&gt;'Vanpool Report'!R6,'Vanpool Report'!R6,'Vanpool Report'!R3)</f>
        <v>0</v>
      </c>
      <c r="I12" s="312" t="s">
        <v>216</v>
      </c>
      <c r="N12" s="305" t="s">
        <v>217</v>
      </c>
      <c r="O12" s="306" t="e">
        <f ca="1">INDIRECT(O13)</f>
        <v>#N/A</v>
      </c>
    </row>
    <row r="13" spans="2:15" ht="15">
      <c r="B13" s="301" t="s">
        <v>222</v>
      </c>
      <c r="I13" s="313">
        <f>ABS(O8)</f>
        <v>0</v>
      </c>
      <c r="N13" s="305"/>
      <c r="O13" s="307" t="e">
        <f>ADDRESS(O14,1,1,TRUE,"all fares")</f>
        <v>#N/A</v>
      </c>
    </row>
    <row r="14" spans="9:15" ht="15">
      <c r="I14" s="300"/>
      <c r="N14" s="305" t="s">
        <v>218</v>
      </c>
      <c r="O14" s="307" t="e">
        <f>MATCH(O15,IF(B5="4-day",miles4,IF(B5="5-day",Miles5,IF(B5="6-day",Miles6,IF(B5="7-day",Miles7,Miles9)))))+(I17)</f>
        <v>#N/A</v>
      </c>
    </row>
    <row r="15" spans="14:15" ht="13.5" thickBot="1">
      <c r="N15" s="308" t="s">
        <v>219</v>
      </c>
      <c r="O15" s="314">
        <f>O18-1</f>
        <v>19</v>
      </c>
    </row>
    <row r="16" ht="13.5" thickBot="1">
      <c r="I16" s="309" t="s">
        <v>220</v>
      </c>
    </row>
    <row r="17" spans="8:9" ht="13.5" thickBot="1">
      <c r="H17" s="301"/>
      <c r="I17" s="310">
        <f>IF(B5="4-day",J6,IF(B5="5-day",J7,IF(B5="6-day",J8,IF(B5="7-day",J9,J10))))</f>
        <v>43</v>
      </c>
    </row>
    <row r="18" spans="14:15" ht="26.25" thickBot="1">
      <c r="N18" s="315" t="s">
        <v>221</v>
      </c>
      <c r="O18" s="316">
        <f>IF(AND(B5=I6,B8&lt;K6),K6,IF(AND(B5=I7,B8&lt;K7),K7,IF(AND(B5=I8,B8&lt;K8),K8,IF(AND(B5=I9,B8&lt;K9),K9,IF(AND(B5=I10,B8&lt;K10),K10,B8)))))</f>
        <v>20</v>
      </c>
    </row>
  </sheetData>
  <sheetProtection password="E4A4" sheet="1" objects="1" scenarios="1" selectLockedCells="1" selectUnlockedCells="1"/>
  <mergeCells count="1">
    <mergeCell ref="N7:O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Intercity Transit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LPeterson@intercitytransit.com</dc:creator>
  <cp:keywords/>
  <dc:description/>
  <cp:lastModifiedBy>Admin</cp:lastModifiedBy>
  <cp:lastPrinted>2012-12-18T00:18:41Z</cp:lastPrinted>
  <dcterms:created xsi:type="dcterms:W3CDTF">1999-07-28T20:16:06Z</dcterms:created>
  <dcterms:modified xsi:type="dcterms:W3CDTF">2014-01-06T21:55:14Z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